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760" tabRatio="603" firstSheet="1" activeTab="5"/>
  </bookViews>
  <sheets>
    <sheet name="EJEC. NOV. (2)" sheetId="39" state="hidden" r:id="rId1"/>
    <sheet name="EJEC.ABRIL" sheetId="44" r:id="rId2"/>
    <sheet name="BAL.  ABRIL" sheetId="43" r:id="rId3"/>
    <sheet name="C X P  ABRIL" sheetId="42" r:id="rId4"/>
    <sheet name="C.Y BCO. ABRIL" sheetId="41" r:id="rId5"/>
    <sheet name="INGRESOS ABRIL" sheetId="40" r:id="rId6"/>
    <sheet name="C.Y BCO." sheetId="37" state="hidden" r:id="rId7"/>
    <sheet name="INGRESOS" sheetId="36" state="hidden" r:id="rId8"/>
    <sheet name="C X P " sheetId="35" state="hidden" r:id="rId9"/>
    <sheet name="BAL. " sheetId="34" state="hidden" r:id="rId10"/>
    <sheet name="EJEC.MARZO" sheetId="33" state="hidden" r:id="rId11"/>
    <sheet name="Hoja1" sheetId="38" r:id="rId12"/>
  </sheets>
  <definedNames>
    <definedName name="_xlnm.Print_Area" localSheetId="9">'BAL. '!$D$1:$G$21</definedName>
    <definedName name="_xlnm.Print_Area" localSheetId="2">'BAL.  ABRIL'!$D$1:$G$20</definedName>
    <definedName name="_xlnm.Print_Area" localSheetId="8">'C X P '!$A$1:$E$37</definedName>
    <definedName name="_xlnm.Print_Area" localSheetId="3">'C X P  ABRIL'!$A$1:$E$36</definedName>
    <definedName name="_xlnm.Print_Area" localSheetId="6">'C.Y BCO.'!$B$1:$F$31</definedName>
    <definedName name="_xlnm.Print_Area" localSheetId="4">'C.Y BCO. ABRIL'!$B$1:$F$31</definedName>
    <definedName name="_xlnm.Print_Area" localSheetId="0">'EJEC. NOV. (2)'!$A$1:$N$70</definedName>
    <definedName name="_xlnm.Print_Area" localSheetId="1">EJEC.ABRIL!$A$1:$N$78</definedName>
    <definedName name="_xlnm.Print_Area" localSheetId="10">EJEC.MARZO!$A$1:$N$86</definedName>
    <definedName name="_xlnm.Print_Area" localSheetId="7">INGRESOS!$A$1:$F$48</definedName>
    <definedName name="_xlnm.Print_Area" localSheetId="5">'INGRESOS ABRIL'!$A$1:$F$50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5" i="44"/>
  <c r="M27"/>
  <c r="N50"/>
  <c r="M55"/>
  <c r="M39"/>
  <c r="M46"/>
  <c r="N51"/>
  <c r="M69"/>
  <c r="M58"/>
  <c r="N69"/>
  <c r="N43"/>
  <c r="M34"/>
  <c r="M67"/>
  <c r="N66"/>
  <c r="N65" s="1"/>
  <c r="M65"/>
  <c r="N53"/>
  <c r="M53"/>
  <c r="N28"/>
  <c r="N68"/>
  <c r="N67" s="1"/>
  <c r="M49"/>
  <c r="N48"/>
  <c r="N41"/>
  <c r="N40"/>
  <c r="N39" s="1"/>
  <c r="M64" l="1"/>
  <c r="N64"/>
  <c r="M25"/>
  <c r="M24" s="1"/>
  <c r="F40" i="40" l="1"/>
  <c r="F41" s="1"/>
  <c r="T74" i="44"/>
  <c r="W66"/>
  <c r="R66"/>
  <c r="R65"/>
  <c r="S62"/>
  <c r="U62" s="1"/>
  <c r="X59"/>
  <c r="V59"/>
  <c r="V62" s="1"/>
  <c r="S59"/>
  <c r="N59"/>
  <c r="U58"/>
  <c r="M51"/>
  <c r="N49"/>
  <c r="N47"/>
  <c r="N46"/>
  <c r="M44"/>
  <c r="N37"/>
  <c r="N36"/>
  <c r="N35"/>
  <c r="U33"/>
  <c r="S31"/>
  <c r="S33" s="1"/>
  <c r="S36" s="1"/>
  <c r="N31"/>
  <c r="M31"/>
  <c r="M23" s="1"/>
  <c r="N30"/>
  <c r="N27" s="1"/>
  <c r="R27"/>
  <c r="N26"/>
  <c r="N25"/>
  <c r="O23"/>
  <c r="G19" i="43"/>
  <c r="E21" i="42"/>
  <c r="E25" s="1"/>
  <c r="E33" s="1"/>
  <c r="E35" s="1"/>
  <c r="F18" i="41"/>
  <c r="F20" s="1"/>
  <c r="F28"/>
  <c r="F26" i="40"/>
  <c r="F27" s="1"/>
  <c r="N44" i="33"/>
  <c r="N50"/>
  <c r="M41"/>
  <c r="M63"/>
  <c r="N57"/>
  <c r="N54"/>
  <c r="N29"/>
  <c r="N75"/>
  <c r="M75"/>
  <c r="N73"/>
  <c r="M73"/>
  <c r="M50"/>
  <c r="X70"/>
  <c r="W64"/>
  <c r="S57"/>
  <c r="R64"/>
  <c r="R63"/>
  <c r="U56"/>
  <c r="W56" s="1"/>
  <c r="T82"/>
  <c r="R67"/>
  <c r="S74"/>
  <c r="X57"/>
  <c r="R61"/>
  <c r="S58"/>
  <c r="U58" s="1"/>
  <c r="V57"/>
  <c r="V58" s="1"/>
  <c r="N79"/>
  <c r="M79"/>
  <c r="N69"/>
  <c r="N68" s="1"/>
  <c r="M69"/>
  <c r="M68" s="1"/>
  <c r="N77"/>
  <c r="M77"/>
  <c r="M38" i="44" l="1"/>
  <c r="F39" i="40"/>
  <c r="N24" i="44"/>
  <c r="N34"/>
  <c r="W62"/>
  <c r="X62" s="1"/>
  <c r="W58"/>
  <c r="U59"/>
  <c r="N62"/>
  <c r="F26" i="41"/>
  <c r="F30" s="1"/>
  <c r="F37" i="40" s="1"/>
  <c r="F38" s="1"/>
  <c r="M71" i="33"/>
  <c r="M62" s="1"/>
  <c r="N71"/>
  <c r="U74"/>
  <c r="W74" s="1"/>
  <c r="S61"/>
  <c r="W58"/>
  <c r="X58" s="1"/>
  <c r="U57"/>
  <c r="U61" s="1"/>
  <c r="X56"/>
  <c r="M77" i="44" l="1"/>
  <c r="N58"/>
  <c r="N38" s="1"/>
  <c r="F42" i="40"/>
  <c r="N23" i="44"/>
  <c r="W69"/>
  <c r="X58"/>
  <c r="X61" i="33"/>
  <c r="V67" s="1"/>
  <c r="W61"/>
  <c r="W71" s="1"/>
  <c r="N77" i="44" l="1"/>
  <c r="Q75"/>
  <c r="M58" i="33"/>
  <c r="M56" s="1"/>
  <c r="N43"/>
  <c r="M32"/>
  <c r="U31"/>
  <c r="N24"/>
  <c r="M22"/>
  <c r="S29"/>
  <c r="S31" s="1"/>
  <c r="S34" s="1"/>
  <c r="R26"/>
  <c r="F26" i="37"/>
  <c r="F24" i="36"/>
  <c r="E22" i="35" l="1"/>
  <c r="E26" s="1"/>
  <c r="M26" i="33"/>
  <c r="N63"/>
  <c r="N62" s="1"/>
  <c r="N40"/>
  <c r="N38"/>
  <c r="N37" s="1"/>
  <c r="E34" i="35" l="1"/>
  <c r="N58" i="33"/>
  <c r="N56" s="1"/>
  <c r="M39" l="1"/>
  <c r="N39" s="1"/>
  <c r="M37"/>
  <c r="N35" l="1"/>
  <c r="N34"/>
  <c r="N33"/>
  <c r="N28"/>
  <c r="N26" s="1"/>
  <c r="N23"/>
  <c r="N25"/>
  <c r="N32" l="1"/>
  <c r="N22"/>
  <c r="N21" s="1"/>
  <c r="M57" i="39"/>
  <c r="N57" s="1"/>
  <c r="N56"/>
  <c r="N55"/>
  <c r="N53"/>
  <c r="N52" s="1"/>
  <c r="M53"/>
  <c r="M52" s="1"/>
  <c r="N51"/>
  <c r="N50" s="1"/>
  <c r="N48"/>
  <c r="M47"/>
  <c r="N47" s="1"/>
  <c r="N46"/>
  <c r="M45"/>
  <c r="N45" s="1"/>
  <c r="N44"/>
  <c r="N43" s="1"/>
  <c r="M44"/>
  <c r="M43" s="1"/>
  <c r="N41"/>
  <c r="M41"/>
  <c r="N40"/>
  <c r="N39" s="1"/>
  <c r="M39"/>
  <c r="M37"/>
  <c r="M36" s="1"/>
  <c r="N31"/>
  <c r="M31"/>
  <c r="N28"/>
  <c r="M28"/>
  <c r="N25"/>
  <c r="M25"/>
  <c r="M24"/>
  <c r="M23"/>
  <c r="N22"/>
  <c r="O21"/>
  <c r="M44" i="33"/>
  <c r="M54" i="39" l="1"/>
  <c r="M49" s="1"/>
  <c r="N21"/>
  <c r="N37"/>
  <c r="N36" s="1"/>
  <c r="N35" s="1"/>
  <c r="M35"/>
  <c r="M22"/>
  <c r="M21" s="1"/>
  <c r="N54"/>
  <c r="N49" s="1"/>
  <c r="M29" i="33"/>
  <c r="E32" i="35"/>
  <c r="F18" i="37"/>
  <c r="N52" i="33"/>
  <c r="N61" i="39" l="1"/>
  <c r="M61"/>
  <c r="M54" i="33"/>
  <c r="M21" l="1"/>
  <c r="M52"/>
  <c r="M36" s="1"/>
  <c r="N42"/>
  <c r="N41" s="1"/>
  <c r="N36" s="1"/>
  <c r="N81" s="1"/>
  <c r="G20" i="34"/>
  <c r="F25" i="36"/>
  <c r="F38"/>
  <c r="F39" s="1"/>
  <c r="E36" i="35"/>
  <c r="O21" i="33"/>
  <c r="M83" l="1"/>
  <c r="M85" s="1"/>
  <c r="Q83"/>
  <c r="R79"/>
  <c r="M81"/>
  <c r="N85"/>
  <c r="F28" i="37" l="1"/>
  <c r="F30" s="1"/>
  <c r="F35" i="36" s="1"/>
  <c r="F36" l="1"/>
  <c r="F40"/>
</calcChain>
</file>

<file path=xl/sharedStrings.xml><?xml version="1.0" encoding="utf-8"?>
<sst xmlns="http://schemas.openxmlformats.org/spreadsheetml/2006/main" count="479" uniqueCount="227">
  <si>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</si>
  <si>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</si>
  <si>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</si>
  <si>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</si>
  <si>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</si>
  <si>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</si>
  <si>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</si>
  <si>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</si>
  <si>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</si>
  <si>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</si>
  <si>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</si>
  <si>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</si>
  <si>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</si>
  <si>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</si>
  <si>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</si>
  <si>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</si>
  <si>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</si>
  <si>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</si>
  <si>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</si>
  <si>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</si>
  <si>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</si>
  <si>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</si>
  <si>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</si>
  <si>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</si>
  <si>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</si>
  <si>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</si>
  <si>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</si>
  <si>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</si>
  <si>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</si>
  <si>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</si>
  <si>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</si>
  <si>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</si>
  <si>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</si>
  <si>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</si>
  <si>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</si>
  <si>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</si>
  <si>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</si>
  <si>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</si>
  <si>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</si>
  <si>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</si>
  <si>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</si>
  <si>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</si>
  <si>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</si>
  <si>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</si>
  <si>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</si>
  <si>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</si>
  <si>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</si>
  <si>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</si>
  <si>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</si>
  <si>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</si>
  <si>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</si>
  <si>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</si>
  <si>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</si>
  <si>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</si>
  <si>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</si>
  <si>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</si>
  <si>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</si>
  <si>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</si>
  <si>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</si>
  <si>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</si>
  <si>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</si>
  <si>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</si>
  <si>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</si>
  <si>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</si>
  <si>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</si>
  <si>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</si>
  <si>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</si>
  <si>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</si>
  <si>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</si>
  <si>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</si>
  <si>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</si>
  <si>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</si>
  <si>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</si>
  <si>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</si>
  <si>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</si>
  <si>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</si>
  <si>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</si>
  <si>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</si>
  <si>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</si>
  <si>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</si>
  <si>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</si>
  <si>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</si>
  <si>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</si>
  <si>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</si>
  <si>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AUMENTO   EN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</si>
  <si>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</si>
  <si>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</si>
  <si>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</si>
  <si>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</si>
  <si>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</si>
  <si>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</si>
  <si>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</si>
  <si>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</si>
  <si>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</si>
  <si>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</si>
  <si>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</si>
  <si>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</si>
  <si>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</si>
  <si>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</si>
  <si>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</si>
  <si>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</si>
  <si>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</si>
  <si>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</si>
  <si>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</si>
  <si>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</si>
  <si>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</si>
  <si>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</si>
  <si>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</si>
  <si>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</si>
  <si>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</si>
  <si>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</si>
  <si>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</si>
  <si>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</si>
  <si>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</si>
  <si>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</si>
  <si>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</si>
  <si>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</si>
  <si>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</si>
  <si>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</si>
  <si>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</si>
  <si>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</si>
  <si>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</si>
  <si>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</si>
  <si>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</si>
  <si>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</si>
  <si>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</si>
  <si>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</si>
  <si>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</si>
  <si>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</si>
  <si>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</si>
  <si>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</si>
  <si>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</si>
  <si>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</si>
  <si>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</si>
  <si>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</si>
  <si>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</si>
  <si>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</si>
  <si>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</si>
  <si>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  EN CAJA Y BANCO</t>
  </si>
  <si>
    <t>DISMINUCION CXP</t>
  </si>
  <si>
    <t>AUMENTO CAJA</t>
  </si>
  <si>
    <t>AÑO 2023</t>
  </si>
  <si>
    <t>PUBLICIDAD IMPRESIÓN Y ENC.</t>
  </si>
  <si>
    <t>2.2.01</t>
  </si>
  <si>
    <t>IMPRESIÓN</t>
  </si>
  <si>
    <t>VIATICOS</t>
  </si>
  <si>
    <t>2.3.01</t>
  </si>
  <si>
    <t>DENTRO DEL PAIS</t>
  </si>
  <si>
    <t>LAVANDERIA</t>
  </si>
  <si>
    <t>3.1.3.03</t>
  </si>
  <si>
    <t>FORESTALES</t>
  </si>
  <si>
    <t>3.9.2.01</t>
  </si>
  <si>
    <t>MATERIALES DE OFICINA</t>
  </si>
  <si>
    <t>DISMINUCION DE CTAS X PAG.</t>
  </si>
  <si>
    <t>MARZO</t>
  </si>
  <si>
    <t>Al   31 MARZO   2023</t>
  </si>
  <si>
    <t>AL  31     MARZO   2023</t>
  </si>
  <si>
    <t xml:space="preserve">  AL 31   DE  MARZO  2023</t>
  </si>
  <si>
    <t>MES   MARZO</t>
  </si>
  <si>
    <t>1.5.03</t>
  </si>
  <si>
    <t>PRESTACIONES LABORALES</t>
  </si>
  <si>
    <t>4.4.01</t>
  </si>
  <si>
    <t>PEAJE</t>
  </si>
  <si>
    <t>2.7.2.06</t>
  </si>
  <si>
    <t>MANT.EQUIPOS DE TRANSP.</t>
  </si>
  <si>
    <t>2.8.8.01</t>
  </si>
  <si>
    <t>IMPUESTO</t>
  </si>
  <si>
    <t>2.2.1.3.01</t>
  </si>
  <si>
    <t>TELEFONOS</t>
  </si>
  <si>
    <t>2.2.1.6.01</t>
  </si>
  <si>
    <t>ENERGIA ELECTRICA</t>
  </si>
  <si>
    <t>2.2.8.5.02</t>
  </si>
  <si>
    <t>.2.3.91.01</t>
  </si>
  <si>
    <t>MATERIALES LIMPIEZA</t>
  </si>
  <si>
    <t>3.9.5</t>
  </si>
  <si>
    <t>PRODUCTOS DEFENSA</t>
  </si>
  <si>
    <t>2.3.6.3</t>
  </si>
  <si>
    <t>PRODUCTOS METALICOS</t>
  </si>
  <si>
    <t>2.3.6.3.04</t>
  </si>
  <si>
    <t>HERRAMIENTAS MENORES</t>
  </si>
  <si>
    <t>2.2.7.2.99</t>
  </si>
  <si>
    <t>OTROS SERVICIOS Y MANTE.</t>
  </si>
  <si>
    <t>2.3.7.1.06</t>
  </si>
  <si>
    <t>LUBRICANTES</t>
  </si>
  <si>
    <t>2.4.1.2.</t>
  </si>
  <si>
    <t>AYUDAS Y DONACION A PERSONAS</t>
  </si>
  <si>
    <t>2.4.1.2.01</t>
  </si>
  <si>
    <t>AYUDAS Y DONACIONES</t>
  </si>
  <si>
    <t>2.2.1.8.01</t>
  </si>
  <si>
    <t>BASURA</t>
  </si>
  <si>
    <t>3.5.3.01</t>
  </si>
  <si>
    <t>LLANTAS Y GOMAS</t>
  </si>
  <si>
    <t>2.3.5.2.</t>
  </si>
  <si>
    <t>PRODUCTOS DE CUERO</t>
  </si>
  <si>
    <t>2.2.8.6.01</t>
  </si>
  <si>
    <t>EVENTOS GENERALES</t>
  </si>
  <si>
    <t>2.2.1.7.01</t>
  </si>
  <si>
    <t>2.2.5.9.</t>
  </si>
  <si>
    <t>DERECHOS DE USO</t>
  </si>
  <si>
    <t>2.2.5.9.01</t>
  </si>
  <si>
    <t>LICENCIAS INFORMARTICAS</t>
  </si>
  <si>
    <t>MES   ABRIL</t>
  </si>
  <si>
    <t xml:space="preserve">  AL 30   DE  ABRIL  2023</t>
  </si>
  <si>
    <t>AL  30     ABRIL   2023</t>
  </si>
  <si>
    <t>Al   30 ABRIL   2023</t>
  </si>
  <si>
    <t>ABRIL</t>
  </si>
  <si>
    <t>2.2.3.2.02</t>
  </si>
  <si>
    <t>2.2.3.2.01</t>
  </si>
  <si>
    <t>FUERA DEL PAIS</t>
  </si>
  <si>
    <t>2.2.5.1.01</t>
  </si>
  <si>
    <t>2.2.6.3.01</t>
  </si>
  <si>
    <t>SEGUROS PERSONAS</t>
  </si>
  <si>
    <t>2.1.4.2.01</t>
  </si>
  <si>
    <t>BONO ESCOLAR</t>
  </si>
  <si>
    <t>LIMPIEZA Y HIGIENE</t>
  </si>
  <si>
    <t>2.2.8.8.01</t>
  </si>
  <si>
    <t>2.2.8.5.01</t>
  </si>
  <si>
    <t>FUMIGACION</t>
  </si>
  <si>
    <t>2.3.1.1.1</t>
  </si>
  <si>
    <t>2.3.9.2.01</t>
  </si>
  <si>
    <t>2.3.9.6.01</t>
  </si>
  <si>
    <t>2.3.9.5.01</t>
  </si>
  <si>
    <t>UTILES DE COCINA</t>
  </si>
  <si>
    <t>SERVICIOS BASICOS</t>
  </si>
  <si>
    <t>2.2.7.2.06</t>
  </si>
  <si>
    <t>OTROS SERV. MANT. Y REP</t>
  </si>
  <si>
    <t>2.3.9.9.01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</si>
</sst>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4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47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3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43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3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43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3" fontId="8" fillId="0" borderId="5" xfId="1" applyFont="1" applyBorder="1" applyAlignment="1">
      <alignment horizontal="right" vertical="top"/>
    </xf>
    <xf numFmtId="43" fontId="10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43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2" fillId="0" borderId="12" xfId="1" applyFont="1" applyBorder="1"/>
    <xf numFmtId="43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12" xfId="3" applyNumberFormat="1" applyFont="1" applyBorder="1" applyAlignment="1">
      <alignment horizontal="right"/>
    </xf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164" fontId="2" fillId="0" borderId="16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169" fontId="0" fillId="0" borderId="16" xfId="0" applyNumberFormat="1" applyBorder="1"/>
    <xf numFmtId="43" fontId="0" fillId="0" borderId="16" xfId="1" applyFont="1" applyBorder="1"/>
    <xf numFmtId="43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43" fontId="2" fillId="0" borderId="28" xfId="1" applyFont="1" applyBorder="1" applyAlignment="1">
      <alignment horizontal="right"/>
    </xf>
    <xf numFmtId="43" fontId="2" fillId="0" borderId="29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43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43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0" fontId="14" fillId="0" borderId="0" xfId="0" applyFont="1"/>
    <xf numFmtId="170" fontId="14" fillId="0" borderId="16" xfId="1" applyNumberFormat="1" applyFont="1" applyBorder="1" applyAlignment="1">
      <alignment horizontal="right"/>
    </xf>
    <xf numFmtId="169" fontId="1" fillId="0" borderId="0" xfId="1" applyNumberFormat="1" applyFont="1" applyAlignment="1">
      <alignment horizontal="right"/>
    </xf>
    <xf numFmtId="9" fontId="0" fillId="0" borderId="0" xfId="0" applyNumberFormat="1"/>
    <xf numFmtId="171" fontId="2" fillId="0" borderId="16" xfId="1" applyNumberFormat="1" applyFont="1" applyBorder="1"/>
    <xf numFmtId="0" fontId="14" fillId="0" borderId="16" xfId="0" applyFont="1" applyBorder="1" applyAlignment="1">
      <alignment horizontal="right"/>
    </xf>
    <xf numFmtId="43" fontId="14" fillId="0" borderId="16" xfId="1" applyFont="1" applyBorder="1"/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 wrapText="1"/>
    </xf>
  </cellXfs>
  <cellStyles count="4">
    <cellStyle name="Euro" xfId="2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600076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11</xdr:col>
      <xdr:colOff>342901</xdr:colOff>
      <xdr:row>8</xdr:row>
      <xdr:rowOff>28575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717A84C-5AA0-4179-A43F-48C3C066EE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181225" y="161925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647701</xdr:colOff>
      <xdr:row>6</xdr:row>
      <xdr:rowOff>66675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E42257E8-868F-420B-9A82-06755EF653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504950" y="161925"/>
          <a:ext cx="2114551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1295401</xdr:colOff>
      <xdr:row>6</xdr:row>
      <xdr:rowOff>114300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92BFA0CA-A080-48B3-B7B9-17B74AC800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714500" y="0"/>
          <a:ext cx="2114551" cy="1085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5</xdr:col>
      <xdr:colOff>495301</xdr:colOff>
      <xdr:row>7</xdr:row>
      <xdr:rowOff>28575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D9217829-564E-47B9-B608-FE1975C4D6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657350" y="0"/>
          <a:ext cx="236220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1</xdr:col>
      <xdr:colOff>390525</xdr:colOff>
      <xdr:row>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4C514B1B-A215-44A1-8E34-8A05A545B9E5}"/>
            </a:ext>
          </a:extLst>
        </xdr:cNvPr>
        <xdr:cNvSpPr txBox="1">
          <a:spLocks noChangeArrowheads="1"/>
        </xdr:cNvSpPr>
      </xdr:nvSpPr>
      <xdr:spPr>
        <a:xfrm>
          <a:off x="28575" y="288607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A2C581D6-BE8A-47EE-9C9C-C8D1F3ED6192}"/>
            </a:ext>
          </a:extLst>
        </xdr:cNvPr>
        <xdr:cNvSpPr txBox="1">
          <a:spLocks noChangeArrowheads="1"/>
        </xdr:cNvSpPr>
      </xdr:nvSpPr>
      <xdr:spPr>
        <a:xfrm>
          <a:off x="66675" y="2886075"/>
          <a:ext cx="10287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2</xdr:col>
      <xdr:colOff>438150</xdr:colOff>
      <xdr:row>19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6F7B6A74-5DA3-4F05-8EC9-7231BFE99D3E}"/>
            </a:ext>
          </a:extLst>
        </xdr:cNvPr>
        <xdr:cNvSpPr txBox="1">
          <a:spLocks noChangeArrowheads="1"/>
        </xdr:cNvSpPr>
      </xdr:nvSpPr>
      <xdr:spPr>
        <a:xfrm>
          <a:off x="866775" y="2886075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8DBBE610-DDD5-41A8-B3EC-84599E887075}"/>
            </a:ext>
          </a:extLst>
        </xdr:cNvPr>
        <xdr:cNvSpPr txBox="1">
          <a:spLocks noChangeArrowheads="1"/>
        </xdr:cNvSpPr>
      </xdr:nvSpPr>
      <xdr:spPr>
        <a:xfrm>
          <a:off x="1066800" y="2886075"/>
          <a:ext cx="8286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276225</xdr:colOff>
      <xdr:row>19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F5ED04D-53FA-46D0-95F6-77168A30D3D5}"/>
            </a:ext>
          </a:extLst>
        </xdr:cNvPr>
        <xdr:cNvSpPr txBox="1">
          <a:spLocks noChangeArrowheads="1"/>
        </xdr:cNvSpPr>
      </xdr:nvSpPr>
      <xdr:spPr>
        <a:xfrm>
          <a:off x="0" y="288607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457200</xdr:colOff>
      <xdr:row>19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BCFD6F24-E048-4910-8995-5CDCA6A4F649}"/>
            </a:ext>
          </a:extLst>
        </xdr:cNvPr>
        <xdr:cNvSpPr txBox="1">
          <a:spLocks noChangeArrowheads="1"/>
        </xdr:cNvSpPr>
      </xdr:nvSpPr>
      <xdr:spPr>
        <a:xfrm>
          <a:off x="0" y="288607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19</xdr:row>
      <xdr:rowOff>0</xdr:rowOff>
    </xdr:from>
    <xdr:to>
      <xdr:col>1</xdr:col>
      <xdr:colOff>161925</xdr:colOff>
      <xdr:row>19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3E09CD8C-A72F-41DE-89BF-7B832445B699}"/>
            </a:ext>
          </a:extLst>
        </xdr:cNvPr>
        <xdr:cNvSpPr txBox="1">
          <a:spLocks noChangeArrowheads="1"/>
        </xdr:cNvSpPr>
      </xdr:nvSpPr>
      <xdr:spPr>
        <a:xfrm>
          <a:off x="28575" y="288607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7F704963-A473-4831-A019-8427C42D5E84}"/>
            </a:ext>
          </a:extLst>
        </xdr:cNvPr>
        <xdr:cNvSpPr txBox="1">
          <a:spLocks noChangeArrowheads="1"/>
        </xdr:cNvSpPr>
      </xdr:nvSpPr>
      <xdr:spPr>
        <a:xfrm>
          <a:off x="2114550" y="288607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CCF506D8-CFED-47DC-B09A-7EFC9E4C97E5}"/>
            </a:ext>
          </a:extLst>
        </xdr:cNvPr>
        <xdr:cNvSpPr txBox="1">
          <a:spLocks noChangeArrowheads="1"/>
        </xdr:cNvSpPr>
      </xdr:nvSpPr>
      <xdr:spPr>
        <a:xfrm>
          <a:off x="5114925" y="2886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EBD8942-869B-4599-9C2B-D735BAF47680}"/>
            </a:ext>
          </a:extLst>
        </xdr:cNvPr>
        <xdr:cNvSpPr txBox="1">
          <a:spLocks noChangeArrowheads="1"/>
        </xdr:cNvSpPr>
      </xdr:nvSpPr>
      <xdr:spPr>
        <a:xfrm>
          <a:off x="5114925" y="28860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A5F9F225-A69F-46E4-856B-F238F12AD1EC}"/>
            </a:ext>
          </a:extLst>
        </xdr:cNvPr>
        <xdr:cNvSpPr txBox="1">
          <a:spLocks noChangeArrowheads="1"/>
        </xdr:cNvSpPr>
      </xdr:nvSpPr>
      <xdr:spPr>
        <a:xfrm>
          <a:off x="1676400" y="2886075"/>
          <a:ext cx="34385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419100</xdr:colOff>
      <xdr:row>19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565B6893-A1A2-41B3-814A-8E96CE9FE2FA}"/>
            </a:ext>
          </a:extLst>
        </xdr:cNvPr>
        <xdr:cNvSpPr txBox="1">
          <a:spLocks noChangeArrowheads="1"/>
        </xdr:cNvSpPr>
      </xdr:nvSpPr>
      <xdr:spPr>
        <a:xfrm>
          <a:off x="847725" y="2886075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xmlns="" id="{BF7019D5-F338-4437-8755-8B9D734304AA}"/>
            </a:ext>
          </a:extLst>
        </xdr:cNvPr>
        <xdr:cNvSpPr txBox="1">
          <a:spLocks noChangeArrowheads="1"/>
        </xdr:cNvSpPr>
      </xdr:nvSpPr>
      <xdr:spPr>
        <a:xfrm>
          <a:off x="1981200" y="288607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19</xdr:row>
      <xdr:rowOff>0</xdr:rowOff>
    </xdr:from>
    <xdr:to>
      <xdr:col>2</xdr:col>
      <xdr:colOff>466725</xdr:colOff>
      <xdr:row>19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xmlns="" id="{AF22F365-FD69-46E8-AF34-6242E1D5CB86}"/>
            </a:ext>
          </a:extLst>
        </xdr:cNvPr>
        <xdr:cNvSpPr txBox="1">
          <a:spLocks noChangeArrowheads="1"/>
        </xdr:cNvSpPr>
      </xdr:nvSpPr>
      <xdr:spPr>
        <a:xfrm>
          <a:off x="895350" y="2886075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DCAA2133-455A-414C-8B7C-FD27D4299D8A}"/>
            </a:ext>
          </a:extLst>
        </xdr:cNvPr>
        <xdr:cNvSpPr txBox="1">
          <a:spLocks noChangeArrowheads="1"/>
        </xdr:cNvSpPr>
      </xdr:nvSpPr>
      <xdr:spPr>
        <a:xfrm>
          <a:off x="2105025" y="288607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19</xdr:row>
      <xdr:rowOff>0</xdr:rowOff>
    </xdr:from>
    <xdr:to>
      <xdr:col>2</xdr:col>
      <xdr:colOff>371475</xdr:colOff>
      <xdr:row>19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844ED28F-B8C7-444B-A37D-0B129825C739}"/>
            </a:ext>
          </a:extLst>
        </xdr:cNvPr>
        <xdr:cNvSpPr txBox="1">
          <a:spLocks noChangeArrowheads="1"/>
        </xdr:cNvSpPr>
      </xdr:nvSpPr>
      <xdr:spPr>
        <a:xfrm>
          <a:off x="800100" y="2886075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F27C91F2-9F56-431C-B387-B7B45D367DEF}"/>
            </a:ext>
          </a:extLst>
        </xdr:cNvPr>
        <xdr:cNvSpPr txBox="1">
          <a:spLocks noChangeArrowheads="1"/>
        </xdr:cNvSpPr>
      </xdr:nvSpPr>
      <xdr:spPr>
        <a:xfrm>
          <a:off x="1943100" y="288607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281105AA-830B-446E-92D6-B25025ABBB8A}"/>
            </a:ext>
          </a:extLst>
        </xdr:cNvPr>
        <xdr:cNvSpPr txBox="1">
          <a:spLocks noChangeArrowheads="1"/>
        </xdr:cNvSpPr>
      </xdr:nvSpPr>
      <xdr:spPr>
        <a:xfrm>
          <a:off x="2066925" y="288607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43</xdr:row>
      <xdr:rowOff>34925</xdr:rowOff>
    </xdr:from>
    <xdr:to>
      <xdr:col>3</xdr:col>
      <xdr:colOff>991235</xdr:colOff>
      <xdr:row>48</xdr:row>
      <xdr:rowOff>34925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xmlns="" id="{FEA3043F-6F5E-4EDB-BE41-F8D08E0A68BD}"/>
            </a:ext>
          </a:extLst>
        </xdr:cNvPr>
        <xdr:cNvSpPr txBox="1">
          <a:spLocks noChangeArrowheads="1"/>
        </xdr:cNvSpPr>
      </xdr:nvSpPr>
      <xdr:spPr>
        <a:xfrm>
          <a:off x="635" y="842645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42</xdr:row>
      <xdr:rowOff>152400</xdr:rowOff>
    </xdr:from>
    <xdr:to>
      <xdr:col>5</xdr:col>
      <xdr:colOff>990600</xdr:colOff>
      <xdr:row>48</xdr:row>
      <xdr:rowOff>9525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xmlns="" id="{F8CDCF87-6D20-495E-A619-2E9D0DA95977}"/>
            </a:ext>
          </a:extLst>
        </xdr:cNvPr>
        <xdr:cNvSpPr txBox="1">
          <a:spLocks noChangeArrowheads="1"/>
        </xdr:cNvSpPr>
      </xdr:nvSpPr>
      <xdr:spPr>
        <a:xfrm>
          <a:off x="3000375" y="838200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44</xdr:row>
      <xdr:rowOff>57150</xdr:rowOff>
    </xdr:from>
    <xdr:to>
      <xdr:col>4</xdr:col>
      <xdr:colOff>847725</xdr:colOff>
      <xdr:row>44</xdr:row>
      <xdr:rowOff>66675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xmlns="" id="{D53E5B5B-6DF1-4299-A526-8318A8003FF7}"/>
            </a:ext>
          </a:extLst>
        </xdr:cNvPr>
        <xdr:cNvSpPr>
          <a:spLocks noChangeShapeType="1"/>
        </xdr:cNvSpPr>
      </xdr:nvSpPr>
      <xdr:spPr>
        <a:xfrm flipV="1">
          <a:off x="3952875" y="861060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17</xdr:row>
      <xdr:rowOff>152400</xdr:rowOff>
    </xdr:from>
    <xdr:to>
      <xdr:col>1</xdr:col>
      <xdr:colOff>114300</xdr:colOff>
      <xdr:row>17</xdr:row>
      <xdr:rowOff>152400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xmlns="" id="{91676A9F-EC51-4446-9DEB-445FA66A6D98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96520</xdr:colOff>
      <xdr:row>44</xdr:row>
      <xdr:rowOff>98425</xdr:rowOff>
    </xdr:from>
    <xdr:to>
      <xdr:col>3</xdr:col>
      <xdr:colOff>639445</xdr:colOff>
      <xdr:row>44</xdr:row>
      <xdr:rowOff>107950</xdr:rowOff>
    </xdr:to>
    <xdr:sp macro="" textlink="">
      <xdr:nvSpPr>
        <xdr:cNvPr id="25" name="Line 21">
          <a:extLst>
            <a:ext uri="{FF2B5EF4-FFF2-40B4-BE49-F238E27FC236}">
              <a16:creationId xmlns:a16="http://schemas.microsoft.com/office/drawing/2014/main" xmlns="" id="{E2994E98-0479-4228-AFDE-AE6DB078D8ED}"/>
            </a:ext>
          </a:extLst>
        </xdr:cNvPr>
        <xdr:cNvSpPr>
          <a:spLocks noChangeShapeType="1"/>
        </xdr:cNvSpPr>
      </xdr:nvSpPr>
      <xdr:spPr>
        <a:xfrm flipV="1">
          <a:off x="96520" y="865187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48</xdr:row>
      <xdr:rowOff>147407</xdr:rowOff>
    </xdr:from>
    <xdr:to>
      <xdr:col>3</xdr:col>
      <xdr:colOff>990600</xdr:colOff>
      <xdr:row>48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xmlns="" id="{4441FEF2-3C94-4F2B-9099-0023E32886B0}"/>
            </a:ext>
          </a:extLst>
        </xdr:cNvPr>
        <xdr:cNvSpPr txBox="1">
          <a:spLocks noChangeArrowheads="1"/>
        </xdr:cNvSpPr>
      </xdr:nvSpPr>
      <xdr:spPr>
        <a:xfrm>
          <a:off x="0" y="9348557"/>
          <a:ext cx="2876550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Xiomara  Delmonte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Encargada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2114551</xdr:colOff>
      <xdr:row>7</xdr:row>
      <xdr:rowOff>57150</xdr:rowOff>
    </xdr:to>
    <xdr:pic>
      <xdr:nvPicPr>
        <xdr:cNvPr id="24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D0A9AD56-7EDD-44FE-AAE9-DD932B1CA4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885950" y="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xmlns="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xmlns="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xmlns="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xmlns="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xmlns="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xmlns="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xmlns="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xmlns="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xmlns="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xmlns="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xmlns="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xmlns="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xmlns="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xmlns="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xmlns="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xmlns="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xmlns="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xmlns="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xmlns="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xmlns="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xmlns="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Xiomara  Delmonte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Encargada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127"/>
  <sheetViews>
    <sheetView topLeftCell="A25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14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4"/>
      <c r="P9" s="5"/>
    </row>
    <row r="10" spans="1:16" ht="15">
      <c r="A10" s="217" t="s">
        <v>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9"/>
      <c r="O10" s="96"/>
      <c r="P10" s="5"/>
    </row>
    <row r="11" spans="1:16" ht="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220" t="s">
        <v>2</v>
      </c>
      <c r="N11" s="221"/>
      <c r="O11" s="96"/>
      <c r="P11" s="5"/>
    </row>
    <row r="12" spans="1:16" ht="15">
      <c r="A12" s="78" t="s">
        <v>3</v>
      </c>
      <c r="B12" s="79"/>
      <c r="C12" s="79"/>
      <c r="D12" s="79" t="s">
        <v>4</v>
      </c>
      <c r="E12" s="79"/>
      <c r="F12" s="79"/>
      <c r="G12" s="79"/>
      <c r="H12" s="79"/>
      <c r="I12" s="79"/>
      <c r="J12" s="79"/>
      <c r="K12" s="79"/>
      <c r="M12" s="222" t="s">
        <v>5</v>
      </c>
      <c r="N12" s="223"/>
      <c r="O12" s="99"/>
      <c r="P12" s="5"/>
    </row>
    <row r="13" spans="1:16" ht="15">
      <c r="A13" s="78" t="s">
        <v>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M13" s="100" t="s">
        <v>7</v>
      </c>
      <c r="N13" s="13"/>
      <c r="O13" s="98"/>
      <c r="P13" s="5"/>
    </row>
    <row r="14" spans="1:16" ht="15">
      <c r="A14" s="78" t="s">
        <v>132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M14" s="100" t="s">
        <v>8</v>
      </c>
      <c r="N14" s="13"/>
      <c r="O14" s="98"/>
      <c r="P14" s="5"/>
    </row>
    <row r="15" spans="1:16" ht="15.75" thickBot="1">
      <c r="A15" s="78" t="s">
        <v>131</v>
      </c>
      <c r="B15" s="79"/>
      <c r="C15" s="79"/>
      <c r="D15" s="79"/>
      <c r="M15" s="100" t="s">
        <v>9</v>
      </c>
      <c r="N15" s="13"/>
      <c r="O15" s="101"/>
      <c r="P15" s="5"/>
    </row>
    <row r="16" spans="1:16" ht="13.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2"/>
      <c r="M16" s="103"/>
      <c r="N16" s="104"/>
      <c r="P16" s="5"/>
    </row>
    <row r="17" spans="1:22">
      <c r="A17" s="224" t="s">
        <v>10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L17" s="227" t="s">
        <v>11</v>
      </c>
      <c r="M17" s="227"/>
      <c r="N17" s="228"/>
      <c r="P17" s="5"/>
    </row>
    <row r="18" spans="1:22">
      <c r="A18" s="209" t="s">
        <v>12</v>
      </c>
      <c r="B18" s="210"/>
      <c r="C18" s="209"/>
      <c r="D18" s="209"/>
      <c r="E18" s="209"/>
      <c r="F18" s="209"/>
      <c r="G18" s="209"/>
      <c r="H18" s="209"/>
      <c r="I18" s="211" t="s">
        <v>13</v>
      </c>
      <c r="J18" s="212"/>
      <c r="K18" s="213"/>
      <c r="L18" s="105" t="s">
        <v>14</v>
      </c>
      <c r="M18" s="106" t="s">
        <v>15</v>
      </c>
      <c r="N18" s="107" t="s">
        <v>16</v>
      </c>
      <c r="P18" s="5"/>
    </row>
    <row r="19" spans="1:22" ht="24.75" customHeight="1" thickBot="1">
      <c r="A19" s="82" t="s">
        <v>17</v>
      </c>
      <c r="B19" s="83" t="s">
        <v>18</v>
      </c>
      <c r="C19" s="82" t="s">
        <v>19</v>
      </c>
      <c r="D19" s="82" t="s">
        <v>20</v>
      </c>
      <c r="E19" s="82" t="s">
        <v>21</v>
      </c>
      <c r="F19" s="82" t="s">
        <v>22</v>
      </c>
      <c r="G19" s="82" t="s">
        <v>23</v>
      </c>
      <c r="H19" s="84"/>
      <c r="I19" s="82" t="s">
        <v>24</v>
      </c>
      <c r="J19" s="108" t="s">
        <v>25</v>
      </c>
      <c r="K19" s="108" t="s">
        <v>26</v>
      </c>
      <c r="L19" s="109" t="s">
        <v>27</v>
      </c>
      <c r="M19" s="110" t="s">
        <v>28</v>
      </c>
      <c r="N19" s="111" t="s">
        <v>29</v>
      </c>
    </row>
    <row r="20" spans="1:22" ht="13.5" thickBot="1">
      <c r="A20" s="85"/>
      <c r="B20" s="86"/>
      <c r="C20" s="85"/>
      <c r="D20" s="85"/>
      <c r="E20" s="85"/>
      <c r="F20" s="85"/>
      <c r="G20" s="85"/>
      <c r="H20" s="87"/>
      <c r="I20" s="85"/>
      <c r="J20" s="112"/>
      <c r="K20" s="112"/>
      <c r="L20" s="113"/>
      <c r="M20" s="114"/>
      <c r="N20" s="115"/>
    </row>
    <row r="21" spans="1:22" ht="12.75" customHeight="1">
      <c r="A21" s="88" t="s">
        <v>30</v>
      </c>
      <c r="B21" s="89"/>
      <c r="C21" s="90"/>
      <c r="D21" s="91" t="s">
        <v>30</v>
      </c>
      <c r="E21" s="89"/>
      <c r="F21" s="89"/>
      <c r="H21" s="90"/>
      <c r="I21" s="89">
        <v>2</v>
      </c>
      <c r="J21" s="89"/>
      <c r="K21" s="89"/>
      <c r="L21" s="152" t="s">
        <v>116</v>
      </c>
      <c r="M21" s="116">
        <f>+M22+M25+M28+M31</f>
        <v>2972510.27</v>
      </c>
      <c r="N21" s="117">
        <f>+N22+N25+N28+N31</f>
        <v>2924954.27</v>
      </c>
      <c r="O21" s="118" t="e">
        <f>+#REF!+#REF!+#REF!+#REF!+#REF!</f>
        <v>#REF!</v>
      </c>
    </row>
    <row r="22" spans="1:22">
      <c r="A22" s="92"/>
      <c r="B22" s="93"/>
      <c r="C22" s="94"/>
      <c r="D22" s="95"/>
      <c r="E22" s="93"/>
      <c r="F22" s="93"/>
      <c r="G22" s="93"/>
      <c r="H22" s="94"/>
      <c r="I22" s="93"/>
      <c r="J22" s="119" t="s">
        <v>31</v>
      </c>
      <c r="K22" s="93"/>
      <c r="L22" s="120" t="s">
        <v>122</v>
      </c>
      <c r="M22" s="121">
        <f>+M23+M24</f>
        <v>2175450</v>
      </c>
      <c r="N22" s="122">
        <f>SUM(N23+N24)</f>
        <v>2175450</v>
      </c>
      <c r="Q22" s="50"/>
    </row>
    <row r="23" spans="1:22">
      <c r="A23" s="92"/>
      <c r="B23" s="93"/>
      <c r="C23" s="94"/>
      <c r="D23" s="95"/>
      <c r="E23" s="93"/>
      <c r="F23" s="93"/>
      <c r="G23" s="93">
        <v>9995</v>
      </c>
      <c r="H23" s="94"/>
      <c r="I23" s="93"/>
      <c r="J23" s="119"/>
      <c r="K23" s="119">
        <v>1.1000000000000001</v>
      </c>
      <c r="L23" s="123" t="s">
        <v>32</v>
      </c>
      <c r="M23" s="124">
        <f>+N23</f>
        <v>1740450</v>
      </c>
      <c r="N23" s="124">
        <v>1740450</v>
      </c>
    </row>
    <row r="24" spans="1:22">
      <c r="A24" s="92"/>
      <c r="B24" s="93"/>
      <c r="C24" s="94"/>
      <c r="D24" s="95"/>
      <c r="E24" s="153"/>
      <c r="F24" s="93"/>
      <c r="H24" s="94"/>
      <c r="I24" s="93"/>
      <c r="J24" s="119">
        <v>1.1000000000000001</v>
      </c>
      <c r="K24" s="119">
        <v>2.1</v>
      </c>
      <c r="L24" t="s">
        <v>33</v>
      </c>
      <c r="M24" s="125">
        <f>+N24</f>
        <v>435000</v>
      </c>
      <c r="N24" s="124">
        <v>435000</v>
      </c>
      <c r="P24" s="126"/>
      <c r="T24" s="3"/>
      <c r="U24" s="3"/>
      <c r="V24" s="3"/>
    </row>
    <row r="25" spans="1:22">
      <c r="A25" s="92"/>
      <c r="B25" s="93"/>
      <c r="C25" s="94"/>
      <c r="D25" s="95"/>
      <c r="E25" s="93"/>
      <c r="F25" s="93"/>
      <c r="H25" s="94"/>
      <c r="I25" s="93"/>
      <c r="J25" s="119">
        <v>1.2</v>
      </c>
      <c r="K25" s="119"/>
      <c r="L25" s="120" t="s">
        <v>34</v>
      </c>
      <c r="M25" s="127">
        <f>SUM(M26+M27)</f>
        <v>370600</v>
      </c>
      <c r="N25" s="127">
        <f>SUM(N26+N27)</f>
        <v>323044</v>
      </c>
    </row>
    <row r="26" spans="1:22">
      <c r="A26" s="92"/>
      <c r="B26" s="93"/>
      <c r="C26" s="94"/>
      <c r="D26" s="95"/>
      <c r="E26" s="93"/>
      <c r="F26" s="93"/>
      <c r="H26" s="94"/>
      <c r="I26" s="93"/>
      <c r="J26" s="119"/>
      <c r="K26" s="119" t="s">
        <v>35</v>
      </c>
      <c r="L26" s="123" t="s">
        <v>123</v>
      </c>
      <c r="M26" s="124">
        <v>208500</v>
      </c>
      <c r="N26" s="124">
        <v>160944</v>
      </c>
    </row>
    <row r="27" spans="1:22">
      <c r="A27" s="92"/>
      <c r="B27" s="93"/>
      <c r="C27" s="94"/>
      <c r="D27" s="95"/>
      <c r="E27" s="93"/>
      <c r="F27" s="93"/>
      <c r="H27" s="94"/>
      <c r="I27" s="93"/>
      <c r="J27" s="119"/>
      <c r="K27" s="119" t="s">
        <v>36</v>
      </c>
      <c r="L27" s="123" t="s">
        <v>37</v>
      </c>
      <c r="M27" s="124">
        <v>162100</v>
      </c>
      <c r="N27" s="124">
        <v>162100</v>
      </c>
    </row>
    <row r="28" spans="1:22">
      <c r="A28" s="92"/>
      <c r="B28" s="93"/>
      <c r="C28" s="94"/>
      <c r="D28" s="95"/>
      <c r="E28" s="93"/>
      <c r="F28" s="93"/>
      <c r="H28" s="94"/>
      <c r="I28" s="93"/>
      <c r="J28" s="129">
        <v>1.3</v>
      </c>
      <c r="K28" s="119"/>
      <c r="L28" s="120" t="s">
        <v>119</v>
      </c>
      <c r="M28" s="127">
        <f>SUM(M29+M30)</f>
        <v>100000</v>
      </c>
      <c r="N28" s="127">
        <f>SUM(N29+N30)</f>
        <v>100000</v>
      </c>
      <c r="Q28" s="134"/>
    </row>
    <row r="29" spans="1:22">
      <c r="A29" s="92"/>
      <c r="B29" s="93"/>
      <c r="C29" s="94"/>
      <c r="D29" s="95"/>
      <c r="E29" s="93"/>
      <c r="F29" s="93"/>
      <c r="H29" s="94"/>
      <c r="I29" s="93"/>
      <c r="J29" s="119"/>
      <c r="K29" s="119" t="s">
        <v>38</v>
      </c>
      <c r="L29" s="123" t="s">
        <v>39</v>
      </c>
      <c r="M29" s="124">
        <v>50000</v>
      </c>
      <c r="N29" s="124">
        <v>50000</v>
      </c>
      <c r="Q29" s="134"/>
    </row>
    <row r="30" spans="1:22">
      <c r="A30" s="92"/>
      <c r="B30" s="93"/>
      <c r="C30" s="94"/>
      <c r="D30" s="95"/>
      <c r="E30" s="93"/>
      <c r="F30" s="93"/>
      <c r="H30" s="94"/>
      <c r="I30" s="93"/>
      <c r="J30" s="119"/>
      <c r="K30" s="190" t="s">
        <v>40</v>
      </c>
      <c r="L30" s="155" t="s">
        <v>120</v>
      </c>
      <c r="M30" s="97">
        <v>50000</v>
      </c>
      <c r="N30" s="97">
        <v>50000</v>
      </c>
      <c r="Q30" s="134"/>
      <c r="S30" s="50"/>
    </row>
    <row r="31" spans="1:22">
      <c r="A31" s="92"/>
      <c r="B31" s="93"/>
      <c r="C31" s="94"/>
      <c r="D31" s="95"/>
      <c r="E31" s="93"/>
      <c r="F31" s="93"/>
      <c r="H31" s="94"/>
      <c r="I31" s="93"/>
      <c r="J31" s="119">
        <v>1.5</v>
      </c>
      <c r="K31" s="119"/>
      <c r="L31" s="120" t="s">
        <v>41</v>
      </c>
      <c r="M31" s="130">
        <f>SUM(M32+M33+M34)</f>
        <v>326460.26999999996</v>
      </c>
      <c r="N31" s="130">
        <f>SUM(N32+N33+N34)</f>
        <v>326460.26999999996</v>
      </c>
      <c r="Q31" s="134"/>
    </row>
    <row r="32" spans="1:22">
      <c r="A32" s="92"/>
      <c r="B32" s="93"/>
      <c r="C32" s="94"/>
      <c r="D32" s="95"/>
      <c r="E32" s="93"/>
      <c r="F32" s="93"/>
      <c r="H32" s="94"/>
      <c r="I32" s="93"/>
      <c r="J32" s="93"/>
      <c r="K32" s="93">
        <v>5.0999999999999996</v>
      </c>
      <c r="L32" s="123" t="s">
        <v>42</v>
      </c>
      <c r="M32" s="125">
        <v>151589.51999999999</v>
      </c>
      <c r="N32" s="125">
        <v>151589.51999999999</v>
      </c>
      <c r="Q32" s="59"/>
    </row>
    <row r="33" spans="1:24">
      <c r="A33" s="92"/>
      <c r="B33" s="93"/>
      <c r="C33" s="94"/>
      <c r="D33" s="95"/>
      <c r="E33" s="93"/>
      <c r="F33" s="93"/>
      <c r="H33" s="94"/>
      <c r="I33" s="93"/>
      <c r="J33" s="93"/>
      <c r="K33" s="93">
        <v>5.2</v>
      </c>
      <c r="L33" s="123" t="s">
        <v>43</v>
      </c>
      <c r="M33" s="124">
        <v>154456.95000000001</v>
      </c>
      <c r="N33" s="172">
        <v>154456.95000000001</v>
      </c>
    </row>
    <row r="34" spans="1:24">
      <c r="A34" s="92"/>
      <c r="B34" s="93"/>
      <c r="C34" s="94"/>
      <c r="D34" s="95"/>
      <c r="E34" s="93"/>
      <c r="F34" s="93"/>
      <c r="H34" s="94"/>
      <c r="I34" s="93"/>
      <c r="J34" s="93"/>
      <c r="K34" s="93">
        <v>5.3</v>
      </c>
      <c r="L34" s="123" t="s">
        <v>44</v>
      </c>
      <c r="M34" s="124">
        <v>20413.8</v>
      </c>
      <c r="N34" s="124">
        <v>20413.8</v>
      </c>
      <c r="Q34" s="3"/>
    </row>
    <row r="35" spans="1:24">
      <c r="A35" s="92"/>
      <c r="B35" s="93"/>
      <c r="C35" s="94"/>
      <c r="D35" s="95"/>
      <c r="E35" s="93"/>
      <c r="F35" s="93"/>
      <c r="H35" s="94"/>
      <c r="I35" s="93">
        <v>2</v>
      </c>
      <c r="J35" s="93"/>
      <c r="K35" s="93"/>
      <c r="L35" s="120" t="s">
        <v>45</v>
      </c>
      <c r="M35" s="131">
        <f>SUM(M36+M39+M41+M43+M45+M47)</f>
        <v>641887.12</v>
      </c>
      <c r="N35" s="131">
        <f>SUM(N36+N39+N41+N43+N45)</f>
        <v>610801.29</v>
      </c>
    </row>
    <row r="36" spans="1:24">
      <c r="A36" s="92"/>
      <c r="B36" s="93"/>
      <c r="C36" s="94"/>
      <c r="D36" s="95"/>
      <c r="E36" s="93"/>
      <c r="F36" s="93"/>
      <c r="H36" s="94"/>
      <c r="I36" s="93"/>
      <c r="J36" s="93">
        <v>2.1</v>
      </c>
      <c r="K36" s="93"/>
      <c r="L36" s="120" t="s">
        <v>46</v>
      </c>
      <c r="M36" s="199">
        <f>SUM(+M38+M37)</f>
        <v>4900.8</v>
      </c>
      <c r="N36" s="156">
        <f>SUM(+N38+N37)</f>
        <v>4900.8</v>
      </c>
    </row>
    <row r="37" spans="1:24">
      <c r="A37" s="92"/>
      <c r="B37" s="93"/>
      <c r="C37" s="94"/>
      <c r="D37" s="95"/>
      <c r="E37" s="93"/>
      <c r="F37" s="93"/>
      <c r="H37" s="94"/>
      <c r="I37" s="93"/>
      <c r="J37" s="93"/>
      <c r="K37" s="93">
        <v>1.7</v>
      </c>
      <c r="L37" s="196" t="s">
        <v>133</v>
      </c>
      <c r="M37" s="132">
        <f>608.8+1700</f>
        <v>2308.8000000000002</v>
      </c>
      <c r="N37" s="132">
        <f>+M37</f>
        <v>2308.8000000000002</v>
      </c>
      <c r="S37" s="3"/>
      <c r="X37" s="202"/>
    </row>
    <row r="38" spans="1:24">
      <c r="A38" s="92"/>
      <c r="B38" s="93"/>
      <c r="C38" s="94"/>
      <c r="D38" s="95"/>
      <c r="E38" s="93"/>
      <c r="F38" s="93"/>
      <c r="H38" s="94"/>
      <c r="I38" s="93"/>
      <c r="J38" s="93"/>
      <c r="K38" s="93">
        <v>1.8</v>
      </c>
      <c r="L38" s="155" t="s">
        <v>126</v>
      </c>
      <c r="M38" s="132">
        <v>2592</v>
      </c>
      <c r="N38" s="132">
        <v>2592</v>
      </c>
      <c r="U38" s="3"/>
      <c r="W38" s="3"/>
      <c r="X38" s="3"/>
    </row>
    <row r="39" spans="1:24">
      <c r="A39" s="92"/>
      <c r="B39" s="93"/>
      <c r="C39" s="94"/>
      <c r="D39" s="95"/>
      <c r="E39" s="93"/>
      <c r="F39" s="93"/>
      <c r="H39" s="94"/>
      <c r="I39" s="93"/>
      <c r="J39" s="93">
        <v>2.4</v>
      </c>
      <c r="K39" s="93"/>
      <c r="L39" s="120" t="s">
        <v>47</v>
      </c>
      <c r="M39" s="131">
        <f>SUM(M40)</f>
        <v>5188.59</v>
      </c>
      <c r="N39" s="131">
        <f>SUM(N40)</f>
        <v>5188.59</v>
      </c>
      <c r="Q39" s="198"/>
      <c r="X39" s="3"/>
    </row>
    <row r="40" spans="1:24">
      <c r="A40" s="92"/>
      <c r="B40" s="93"/>
      <c r="C40" s="94"/>
      <c r="D40" s="95"/>
      <c r="E40" s="93"/>
      <c r="F40" s="93"/>
      <c r="H40" s="94"/>
      <c r="I40" s="93"/>
      <c r="J40" s="93"/>
      <c r="K40" s="93">
        <v>4.0999999999999996</v>
      </c>
      <c r="L40" s="155" t="s">
        <v>121</v>
      </c>
      <c r="M40" s="156">
        <v>5188.59</v>
      </c>
      <c r="N40" s="156">
        <f>+M40</f>
        <v>5188.59</v>
      </c>
      <c r="T40" s="3"/>
      <c r="X40" s="3"/>
    </row>
    <row r="41" spans="1:24">
      <c r="A41" s="92"/>
      <c r="B41" s="93"/>
      <c r="C41" s="94"/>
      <c r="D41" s="95"/>
      <c r="E41" s="93"/>
      <c r="F41" s="93"/>
      <c r="H41" s="94"/>
      <c r="I41" s="93"/>
      <c r="J41" s="93">
        <v>2.5</v>
      </c>
      <c r="K41" s="93"/>
      <c r="L41" s="120" t="s">
        <v>48</v>
      </c>
      <c r="M41" s="131">
        <f>+M42</f>
        <v>436714</v>
      </c>
      <c r="N41" s="131">
        <f>+N42</f>
        <v>418209</v>
      </c>
      <c r="T41" s="3"/>
      <c r="X41" s="3"/>
    </row>
    <row r="42" spans="1:24">
      <c r="A42" s="92"/>
      <c r="B42" s="93"/>
      <c r="C42" s="94"/>
      <c r="D42" s="95"/>
      <c r="E42" s="93"/>
      <c r="F42" s="93"/>
      <c r="H42" s="94"/>
      <c r="I42" s="93"/>
      <c r="J42" s="93"/>
      <c r="K42" s="93">
        <v>5.0999999999999996</v>
      </c>
      <c r="L42" s="123" t="s">
        <v>49</v>
      </c>
      <c r="M42" s="132">
        <v>436714</v>
      </c>
      <c r="N42" s="132">
        <v>418209</v>
      </c>
      <c r="T42" s="3"/>
      <c r="X42" s="3"/>
    </row>
    <row r="43" spans="1:24">
      <c r="A43" s="92"/>
      <c r="B43" s="93"/>
      <c r="C43" s="94"/>
      <c r="D43" s="95"/>
      <c r="E43" s="93"/>
      <c r="F43" s="93"/>
      <c r="H43" s="94"/>
      <c r="I43" s="93"/>
      <c r="J43" s="93">
        <v>2.6</v>
      </c>
      <c r="K43" s="93"/>
      <c r="L43" s="120" t="s">
        <v>50</v>
      </c>
      <c r="M43" s="131">
        <f>+M44</f>
        <v>189476.73</v>
      </c>
      <c r="N43" s="131">
        <f>+N44</f>
        <v>180002.9</v>
      </c>
      <c r="T43" s="3"/>
      <c r="V43" s="3"/>
    </row>
    <row r="44" spans="1:24">
      <c r="A44" s="92"/>
      <c r="B44" s="93"/>
      <c r="C44" s="94"/>
      <c r="D44" s="95"/>
      <c r="E44" s="93"/>
      <c r="F44" s="93"/>
      <c r="H44" s="94"/>
      <c r="I44" s="93"/>
      <c r="J44" s="93"/>
      <c r="K44" s="93">
        <v>6.3</v>
      </c>
      <c r="L44" s="123" t="s">
        <v>125</v>
      </c>
      <c r="M44" s="156">
        <f>31560+157916.73</f>
        <v>189476.73</v>
      </c>
      <c r="N44" s="132">
        <f>29982+150020.9</f>
        <v>180002.9</v>
      </c>
    </row>
    <row r="45" spans="1:24">
      <c r="A45" s="92"/>
      <c r="B45" s="93"/>
      <c r="C45" s="94"/>
      <c r="D45" s="95"/>
      <c r="E45" s="93"/>
      <c r="F45" s="93"/>
      <c r="H45" s="94"/>
      <c r="I45" s="93"/>
      <c r="J45" s="93">
        <v>2.7</v>
      </c>
      <c r="K45" s="93"/>
      <c r="L45" s="120" t="s">
        <v>51</v>
      </c>
      <c r="M45" s="122">
        <f>+M46</f>
        <v>2500</v>
      </c>
      <c r="N45" s="122">
        <f>+M45</f>
        <v>2500</v>
      </c>
      <c r="S45" s="3"/>
    </row>
    <row r="46" spans="1:24">
      <c r="A46" s="92"/>
      <c r="B46" s="93"/>
      <c r="C46" s="94"/>
      <c r="D46" s="95"/>
      <c r="E46" s="93"/>
      <c r="F46" s="93"/>
      <c r="H46" s="94"/>
      <c r="I46" s="93"/>
      <c r="J46" s="93"/>
      <c r="K46" s="197" t="s">
        <v>134</v>
      </c>
      <c r="L46" s="196" t="s">
        <v>135</v>
      </c>
      <c r="M46" s="158">
        <v>2500</v>
      </c>
      <c r="N46" s="158">
        <f>+M46</f>
        <v>2500</v>
      </c>
      <c r="U46" s="3"/>
      <c r="V46" s="50"/>
    </row>
    <row r="47" spans="1:24">
      <c r="A47" s="92"/>
      <c r="B47" s="93"/>
      <c r="C47" s="94"/>
      <c r="D47" s="95"/>
      <c r="E47" s="93"/>
      <c r="F47" s="93"/>
      <c r="H47" s="94"/>
      <c r="I47" s="93"/>
      <c r="J47" s="93">
        <v>2.8</v>
      </c>
      <c r="K47" s="93"/>
      <c r="L47" s="120" t="s">
        <v>52</v>
      </c>
      <c r="M47" s="122">
        <f>+M48</f>
        <v>3107</v>
      </c>
      <c r="N47" s="122">
        <f>+M47</f>
        <v>3107</v>
      </c>
      <c r="U47" s="3"/>
    </row>
    <row r="48" spans="1:24">
      <c r="A48" s="92"/>
      <c r="B48" s="93"/>
      <c r="C48" s="94"/>
      <c r="D48" s="95"/>
      <c r="E48" s="93"/>
      <c r="F48" s="93"/>
      <c r="H48" s="94"/>
      <c r="I48" s="93"/>
      <c r="J48" s="93"/>
      <c r="K48" s="93" t="s">
        <v>53</v>
      </c>
      <c r="L48" s="123" t="s">
        <v>54</v>
      </c>
      <c r="M48" s="158">
        <v>3107</v>
      </c>
      <c r="N48" s="158">
        <f>+M48</f>
        <v>3107</v>
      </c>
      <c r="U48" s="3"/>
    </row>
    <row r="49" spans="1:23">
      <c r="A49" s="92"/>
      <c r="B49" s="93"/>
      <c r="C49" s="94"/>
      <c r="D49" s="95"/>
      <c r="E49" s="93"/>
      <c r="F49" s="93"/>
      <c r="H49" s="94"/>
      <c r="I49" s="93">
        <v>2</v>
      </c>
      <c r="J49" s="93">
        <v>3</v>
      </c>
      <c r="K49" s="93"/>
      <c r="L49" s="120" t="s">
        <v>55</v>
      </c>
      <c r="M49" s="122">
        <f>SUM(M50+M52+M54)</f>
        <v>249655.84</v>
      </c>
      <c r="N49" s="122">
        <f>SUM(N50+N52+N54)</f>
        <v>248809.84</v>
      </c>
    </row>
    <row r="50" spans="1:23">
      <c r="A50" s="92"/>
      <c r="B50" s="93"/>
      <c r="C50" s="94"/>
      <c r="D50" s="95"/>
      <c r="E50" s="93"/>
      <c r="F50" s="93"/>
      <c r="H50" s="94"/>
      <c r="I50" s="93"/>
      <c r="J50" s="93">
        <v>3.1</v>
      </c>
      <c r="K50" s="93" t="s">
        <v>56</v>
      </c>
      <c r="L50" s="123" t="s">
        <v>57</v>
      </c>
      <c r="M50" s="122">
        <v>31472.400000000001</v>
      </c>
      <c r="N50" s="122">
        <f>+N51</f>
        <v>31472.400000000001</v>
      </c>
      <c r="S50" s="3"/>
    </row>
    <row r="51" spans="1:23">
      <c r="A51" s="92"/>
      <c r="B51" s="93"/>
      <c r="C51" s="94"/>
      <c r="D51" s="95"/>
      <c r="E51" s="93"/>
      <c r="F51" s="93"/>
      <c r="H51" s="94"/>
      <c r="I51" s="93"/>
      <c r="J51" s="93"/>
      <c r="K51" s="93" t="s">
        <v>58</v>
      </c>
      <c r="L51" s="123" t="s">
        <v>59</v>
      </c>
      <c r="M51" s="125">
        <v>31472.400000000001</v>
      </c>
      <c r="N51" s="125">
        <f>+M51</f>
        <v>31472.400000000001</v>
      </c>
    </row>
    <row r="52" spans="1:23">
      <c r="A52" s="92"/>
      <c r="B52" s="93"/>
      <c r="C52" s="94"/>
      <c r="D52" s="95"/>
      <c r="E52" s="93"/>
      <c r="F52" s="93"/>
      <c r="H52" s="94"/>
      <c r="I52" s="93"/>
      <c r="J52" s="93">
        <v>3.7</v>
      </c>
      <c r="K52" s="133"/>
      <c r="L52" s="120" t="s">
        <v>60</v>
      </c>
      <c r="M52" s="122">
        <f>+M53</f>
        <v>201500</v>
      </c>
      <c r="N52" s="122">
        <f>SUM(N53)</f>
        <v>200654</v>
      </c>
      <c r="V52" s="3"/>
      <c r="W52" s="3"/>
    </row>
    <row r="53" spans="1:23">
      <c r="A53" s="92"/>
      <c r="B53" s="93"/>
      <c r="C53" s="94"/>
      <c r="D53" s="95"/>
      <c r="E53" s="93"/>
      <c r="F53" s="93"/>
      <c r="H53" s="94"/>
      <c r="I53" s="93"/>
      <c r="J53" s="93"/>
      <c r="K53" s="93" t="s">
        <v>61</v>
      </c>
      <c r="L53" s="123" t="s">
        <v>62</v>
      </c>
      <c r="M53" s="125">
        <f>200000+1500</f>
        <v>201500</v>
      </c>
      <c r="N53" s="125">
        <f>199154+1500</f>
        <v>200654</v>
      </c>
      <c r="V53" s="3"/>
      <c r="W53" s="3"/>
    </row>
    <row r="54" spans="1:23">
      <c r="A54" s="92"/>
      <c r="B54" s="93"/>
      <c r="C54" s="94"/>
      <c r="D54" s="95"/>
      <c r="E54" s="93"/>
      <c r="F54" s="93"/>
      <c r="H54" s="94"/>
      <c r="I54" s="93"/>
      <c r="J54" s="93">
        <v>3.9</v>
      </c>
      <c r="K54" s="133"/>
      <c r="L54" s="120" t="s">
        <v>63</v>
      </c>
      <c r="M54" s="138">
        <f>+M55+M56+M57</f>
        <v>16683.439999999999</v>
      </c>
      <c r="N54" s="138">
        <f>+N55+N56+N57</f>
        <v>16683.439999999999</v>
      </c>
      <c r="S54" s="50"/>
      <c r="V54" s="3"/>
      <c r="W54" s="3"/>
    </row>
    <row r="55" spans="1:23">
      <c r="A55" s="92"/>
      <c r="B55" s="93"/>
      <c r="C55" s="94"/>
      <c r="D55" s="95"/>
      <c r="E55" s="93"/>
      <c r="F55" s="93"/>
      <c r="H55" s="94"/>
      <c r="I55" s="93"/>
      <c r="J55" s="93"/>
      <c r="K55" s="197" t="s">
        <v>136</v>
      </c>
      <c r="L55" s="155" t="s">
        <v>137</v>
      </c>
      <c r="M55" s="125">
        <v>901.44</v>
      </c>
      <c r="N55" s="125">
        <f>+M55</f>
        <v>901.44</v>
      </c>
      <c r="Q55" s="50"/>
      <c r="V55" s="3"/>
      <c r="W55" s="3"/>
    </row>
    <row r="56" spans="1:23">
      <c r="A56" s="92"/>
      <c r="B56" s="93"/>
      <c r="C56" s="94"/>
      <c r="D56" s="95"/>
      <c r="E56" s="93"/>
      <c r="F56" s="93"/>
      <c r="H56" s="94"/>
      <c r="I56" s="93"/>
      <c r="J56" s="93"/>
      <c r="K56" s="153" t="s">
        <v>128</v>
      </c>
      <c r="L56" s="155" t="s">
        <v>129</v>
      </c>
      <c r="M56" s="125">
        <v>1155</v>
      </c>
      <c r="N56" s="125">
        <f>+M56</f>
        <v>1155</v>
      </c>
      <c r="V56" s="3"/>
      <c r="W56" s="3"/>
    </row>
    <row r="57" spans="1:23">
      <c r="A57" s="92"/>
      <c r="B57" s="93"/>
      <c r="C57" s="94"/>
      <c r="D57" s="95"/>
      <c r="E57" s="93"/>
      <c r="F57" s="93"/>
      <c r="H57" s="94"/>
      <c r="I57" s="93"/>
      <c r="J57" s="93"/>
      <c r="K57" s="93" t="s">
        <v>64</v>
      </c>
      <c r="L57" s="123" t="s">
        <v>65</v>
      </c>
      <c r="M57" s="125">
        <f>5369.65+8257.35+1000</f>
        <v>14627</v>
      </c>
      <c r="N57" s="125">
        <f>+M57</f>
        <v>14627</v>
      </c>
      <c r="P57" s="169"/>
      <c r="V57" s="3"/>
      <c r="W57" s="3"/>
    </row>
    <row r="58" spans="1:23">
      <c r="A58" s="92"/>
      <c r="B58" s="93"/>
      <c r="C58" s="94"/>
      <c r="D58" s="95"/>
      <c r="E58" s="93"/>
      <c r="F58" s="93"/>
      <c r="H58" s="94"/>
      <c r="I58" s="93"/>
      <c r="J58" s="93"/>
      <c r="K58" s="93"/>
      <c r="L58" s="155" t="s">
        <v>130</v>
      </c>
      <c r="M58" s="125"/>
      <c r="N58" s="125">
        <v>966744</v>
      </c>
      <c r="P58" s="169"/>
      <c r="R58" s="3"/>
    </row>
    <row r="59" spans="1:23">
      <c r="A59" s="136"/>
      <c r="D59" s="137"/>
      <c r="L59" s="196" t="s">
        <v>139</v>
      </c>
      <c r="M59" s="191">
        <v>854250</v>
      </c>
      <c r="N59" s="143">
        <v>0</v>
      </c>
      <c r="P59" s="169"/>
      <c r="Q59" s="50"/>
      <c r="T59" s="3"/>
      <c r="U59" s="3"/>
    </row>
    <row r="60" spans="1:23">
      <c r="A60" s="136"/>
      <c r="D60" s="137"/>
      <c r="L60" s="196" t="s">
        <v>140</v>
      </c>
      <c r="M60" s="143"/>
      <c r="N60" s="143">
        <v>0</v>
      </c>
      <c r="P60" s="169"/>
      <c r="R60" s="3"/>
    </row>
    <row r="61" spans="1:23">
      <c r="A61" s="136"/>
      <c r="D61" s="137"/>
      <c r="L61" s="123"/>
      <c r="M61" s="191">
        <f>+M21+M35+M49+M59+M60</f>
        <v>4718303.2300000004</v>
      </c>
      <c r="N61" s="191">
        <f>+N21+N35+N49+N60+N58</f>
        <v>4751309.4000000004</v>
      </c>
      <c r="P61" s="169"/>
    </row>
    <row r="62" spans="1:23">
      <c r="A62" s="178"/>
      <c r="B62" s="179"/>
      <c r="C62" s="177"/>
      <c r="D62" s="180"/>
      <c r="E62" s="177"/>
      <c r="G62" s="177"/>
      <c r="I62" s="177"/>
      <c r="J62" s="177"/>
      <c r="K62" s="177"/>
      <c r="L62" s="195"/>
      <c r="M62" s="181"/>
      <c r="N62" s="181"/>
      <c r="P62" s="169"/>
    </row>
    <row r="63" spans="1:23">
      <c r="A63" s="183"/>
      <c r="B63" s="89"/>
      <c r="C63" s="182"/>
      <c r="D63" s="95"/>
      <c r="E63" s="93"/>
      <c r="F63" s="93"/>
      <c r="H63" s="94"/>
      <c r="I63" s="93"/>
      <c r="J63" s="93"/>
      <c r="K63" s="93"/>
      <c r="L63" s="123"/>
      <c r="M63" s="125"/>
      <c r="N63" s="125"/>
      <c r="P63" s="169"/>
      <c r="R63" s="3"/>
    </row>
    <row r="64" spans="1:23">
      <c r="A64" s="92"/>
      <c r="B64" s="93"/>
      <c r="C64" s="93"/>
      <c r="D64" s="176"/>
      <c r="E64" s="93"/>
      <c r="F64" s="93"/>
      <c r="H64" s="94"/>
      <c r="I64" s="93"/>
      <c r="J64" s="93"/>
      <c r="K64" s="93"/>
      <c r="L64" s="154"/>
      <c r="M64" s="157"/>
      <c r="N64" s="157"/>
      <c r="P64" s="169"/>
      <c r="Q64" s="50"/>
    </row>
    <row r="65" spans="1:23">
      <c r="A65" s="92"/>
      <c r="B65" s="93"/>
      <c r="C65" s="94"/>
      <c r="D65" s="95"/>
      <c r="E65" s="93"/>
      <c r="F65" s="93"/>
      <c r="H65" s="94"/>
      <c r="I65" s="93"/>
      <c r="J65" s="93"/>
      <c r="K65" s="93"/>
      <c r="L65" s="123"/>
      <c r="M65" s="125"/>
      <c r="N65" s="125"/>
      <c r="P65" s="169"/>
      <c r="R65" s="50"/>
      <c r="S65" s="200"/>
      <c r="T65" s="3"/>
    </row>
    <row r="66" spans="1:23">
      <c r="A66" s="92"/>
      <c r="B66" s="93"/>
      <c r="C66" s="94"/>
      <c r="D66" s="95"/>
      <c r="E66" s="93"/>
      <c r="F66" s="93"/>
      <c r="H66" s="94"/>
      <c r="I66" s="93"/>
      <c r="J66" s="93"/>
      <c r="K66" s="153"/>
      <c r="L66" s="155"/>
      <c r="M66" s="158"/>
      <c r="N66" s="158"/>
    </row>
    <row r="67" spans="1:23">
      <c r="A67" s="184"/>
      <c r="B67" s="93"/>
      <c r="C67" s="93"/>
      <c r="D67" s="95"/>
      <c r="E67" s="93"/>
      <c r="G67" s="175"/>
      <c r="I67" s="175"/>
      <c r="J67" s="93"/>
      <c r="K67" s="153"/>
      <c r="L67" s="170"/>
      <c r="M67" s="157"/>
      <c r="N67" s="173"/>
    </row>
    <row r="68" spans="1:23">
      <c r="A68" s="184"/>
      <c r="B68" s="93"/>
      <c r="C68" s="93"/>
      <c r="D68" s="95"/>
      <c r="E68" s="93"/>
      <c r="G68" s="175"/>
      <c r="I68" s="175"/>
      <c r="J68" s="93"/>
      <c r="K68" s="153"/>
      <c r="L68" s="170"/>
      <c r="M68" s="158"/>
      <c r="N68" s="171"/>
    </row>
    <row r="69" spans="1:23" ht="13.5" thickBot="1">
      <c r="A69" s="174"/>
      <c r="B69" s="187"/>
      <c r="C69" s="188"/>
      <c r="D69" s="189"/>
      <c r="E69" s="188"/>
      <c r="G69" s="185"/>
      <c r="I69" s="185"/>
      <c r="J69" s="188"/>
      <c r="K69" s="188"/>
      <c r="L69" s="166"/>
      <c r="M69" s="158"/>
      <c r="N69" s="167"/>
      <c r="Q69" s="50"/>
      <c r="T69" s="3"/>
    </row>
    <row r="70" spans="1:23" ht="13.5" thickBot="1">
      <c r="A70" s="186"/>
      <c r="B70" s="20"/>
      <c r="C70" s="81"/>
      <c r="D70" s="135"/>
      <c r="E70" s="81"/>
      <c r="F70" s="81"/>
      <c r="G70" s="81"/>
      <c r="H70" s="81"/>
      <c r="I70" s="81"/>
      <c r="J70" s="81"/>
      <c r="K70" s="81"/>
      <c r="L70" s="139"/>
      <c r="M70" s="140"/>
      <c r="N70" s="141"/>
      <c r="R70" s="50"/>
      <c r="T70" s="50"/>
    </row>
    <row r="71" spans="1:23">
      <c r="A71" s="136"/>
      <c r="D71" s="137"/>
      <c r="L71" s="142"/>
      <c r="M71" s="143"/>
      <c r="N71" s="144"/>
    </row>
    <row r="72" spans="1:23">
      <c r="J72" s="145"/>
      <c r="L72" s="142"/>
      <c r="M72" s="144"/>
      <c r="N72" s="146"/>
      <c r="O72" s="97"/>
      <c r="P72" s="59"/>
      <c r="W72" s="50"/>
    </row>
    <row r="73" spans="1:23">
      <c r="J73" s="145"/>
      <c r="L73" s="142"/>
      <c r="M73" s="143"/>
      <c r="N73" s="146"/>
      <c r="O73" s="97"/>
      <c r="P73" s="59"/>
      <c r="Q73" s="3"/>
    </row>
    <row r="74" spans="1:23">
      <c r="J74" s="145"/>
      <c r="L74" s="128"/>
      <c r="M74" s="144"/>
      <c r="N74" s="146"/>
      <c r="O74" s="97"/>
    </row>
    <row r="75" spans="1:23">
      <c r="J75" s="145"/>
      <c r="L75" s="142"/>
      <c r="M75" s="144"/>
      <c r="N75" s="146"/>
      <c r="O75" s="97"/>
    </row>
    <row r="76" spans="1:23">
      <c r="J76" s="145"/>
      <c r="L76" s="142"/>
      <c r="M76" s="143"/>
      <c r="N76" s="147"/>
      <c r="O76" s="97"/>
    </row>
    <row r="77" spans="1:23">
      <c r="J77" s="145"/>
      <c r="L77" s="142"/>
      <c r="M77" s="143"/>
      <c r="N77" s="147"/>
      <c r="O77" s="97"/>
    </row>
    <row r="78" spans="1:23">
      <c r="J78" s="145"/>
      <c r="L78" s="128"/>
      <c r="M78" s="144"/>
      <c r="N78" s="147"/>
      <c r="O78" s="97"/>
    </row>
    <row r="79" spans="1:23">
      <c r="J79" s="145"/>
      <c r="L79" s="142"/>
      <c r="M79" s="143"/>
      <c r="N79" s="147"/>
      <c r="O79" s="97"/>
    </row>
    <row r="80" spans="1:23">
      <c r="J80" s="145"/>
      <c r="L80" s="142"/>
      <c r="M80" s="144"/>
      <c r="N80" s="146"/>
      <c r="O80" s="97"/>
    </row>
    <row r="81" spans="10:16">
      <c r="J81" s="145"/>
      <c r="L81" s="128"/>
      <c r="M81" s="144"/>
      <c r="N81" s="147"/>
      <c r="O81" s="97"/>
    </row>
    <row r="82" spans="10:16">
      <c r="J82" s="145"/>
      <c r="K82" s="148"/>
      <c r="L82" s="142"/>
      <c r="M82" s="143"/>
      <c r="N82" s="144"/>
      <c r="O82" s="97"/>
    </row>
    <row r="83" spans="10:16">
      <c r="J83" s="145"/>
      <c r="L83" s="142"/>
      <c r="M83" s="143"/>
      <c r="N83" s="147"/>
      <c r="O83" s="97"/>
    </row>
    <row r="84" spans="10:16">
      <c r="J84" s="145"/>
      <c r="L84" s="142"/>
      <c r="M84" s="146"/>
      <c r="N84" s="147"/>
      <c r="O84" s="97"/>
    </row>
    <row r="85" spans="10:16">
      <c r="J85" s="145"/>
      <c r="L85" s="142"/>
      <c r="M85" s="143"/>
      <c r="N85" s="146"/>
      <c r="O85" s="97"/>
    </row>
    <row r="86" spans="10:16">
      <c r="J86" s="145"/>
      <c r="L86" s="142"/>
      <c r="M86" s="143"/>
      <c r="N86" s="147"/>
      <c r="O86" s="97"/>
    </row>
    <row r="87" spans="10:16">
      <c r="J87" s="145"/>
      <c r="L87" s="142"/>
      <c r="M87" s="143"/>
      <c r="N87" s="147"/>
      <c r="O87" s="97"/>
    </row>
    <row r="88" spans="10:16">
      <c r="J88" s="145"/>
      <c r="L88" s="142"/>
      <c r="M88" s="143"/>
      <c r="N88" s="147"/>
      <c r="O88" s="97"/>
    </row>
    <row r="89" spans="10:16">
      <c r="J89" s="145"/>
      <c r="L89" s="128"/>
      <c r="M89" s="143"/>
      <c r="N89" s="147"/>
      <c r="O89" s="97"/>
    </row>
    <row r="90" spans="10:16">
      <c r="J90" s="145"/>
      <c r="L90" s="142"/>
      <c r="M90" s="143"/>
      <c r="N90" s="147"/>
      <c r="O90" s="97"/>
    </row>
    <row r="91" spans="10:16">
      <c r="J91" s="145"/>
      <c r="L91" s="128"/>
      <c r="M91" s="143"/>
      <c r="N91" s="147"/>
      <c r="O91" s="97"/>
    </row>
    <row r="92" spans="10:16">
      <c r="J92" s="145"/>
      <c r="L92" s="128"/>
      <c r="M92" s="144"/>
      <c r="N92" s="147"/>
      <c r="O92" s="97"/>
    </row>
    <row r="93" spans="10:16">
      <c r="J93" s="145"/>
      <c r="L93" s="128"/>
      <c r="M93" s="144"/>
      <c r="N93" s="146"/>
      <c r="O93" s="97"/>
    </row>
    <row r="94" spans="10:16">
      <c r="J94" s="145"/>
      <c r="L94" s="142"/>
      <c r="M94" s="144"/>
      <c r="N94" s="146"/>
      <c r="O94" s="97"/>
    </row>
    <row r="95" spans="10:16">
      <c r="J95" s="145"/>
      <c r="L95" s="142"/>
      <c r="M95" s="144"/>
      <c r="N95" s="146"/>
      <c r="O95" s="97"/>
    </row>
    <row r="96" spans="10:16">
      <c r="J96" s="149"/>
      <c r="L96" s="142"/>
      <c r="M96" s="150"/>
      <c r="N96" s="144"/>
      <c r="O96" s="143"/>
      <c r="P96" s="143"/>
    </row>
    <row r="97" spans="10:16">
      <c r="J97" s="149"/>
      <c r="L97" s="142"/>
      <c r="M97" s="144"/>
      <c r="N97" s="150"/>
      <c r="O97" s="143"/>
      <c r="P97" s="143"/>
    </row>
    <row r="98" spans="10:16">
      <c r="J98" s="145"/>
      <c r="L98" s="128"/>
      <c r="M98" s="144"/>
      <c r="N98" s="144"/>
      <c r="O98" s="143"/>
      <c r="P98" s="143"/>
    </row>
    <row r="99" spans="10:16">
      <c r="J99" s="145"/>
      <c r="L99" s="142"/>
      <c r="M99" s="143"/>
      <c r="N99" s="144"/>
      <c r="O99" s="143"/>
      <c r="P99" s="143"/>
    </row>
    <row r="100" spans="10:16">
      <c r="J100" s="145"/>
      <c r="L100" s="142"/>
      <c r="M100" s="143"/>
      <c r="N100" s="144"/>
      <c r="O100" s="143"/>
      <c r="P100" s="143"/>
    </row>
    <row r="101" spans="10:16">
      <c r="J101" s="145"/>
      <c r="L101" s="128"/>
      <c r="M101" s="144"/>
      <c r="N101" s="143"/>
      <c r="O101" s="143"/>
      <c r="P101" s="143"/>
    </row>
    <row r="102" spans="10:16">
      <c r="L102" s="142"/>
      <c r="M102" s="144"/>
      <c r="N102" s="144"/>
      <c r="O102" s="97"/>
    </row>
    <row r="103" spans="10:16">
      <c r="L103" s="142"/>
      <c r="M103" s="143"/>
      <c r="N103" s="144"/>
      <c r="O103" s="97"/>
    </row>
    <row r="104" spans="10:16">
      <c r="L104" s="128"/>
      <c r="M104" s="143"/>
      <c r="N104" s="143"/>
      <c r="O104" s="97"/>
    </row>
    <row r="105" spans="10:16">
      <c r="L105" s="142"/>
      <c r="M105" s="144"/>
      <c r="N105" s="97"/>
      <c r="O105" s="97"/>
    </row>
    <row r="106" spans="10:16">
      <c r="L106" s="128"/>
      <c r="M106" s="151"/>
      <c r="N106" s="144"/>
      <c r="O106" s="97"/>
    </row>
    <row r="107" spans="10:16">
      <c r="L107" s="128"/>
      <c r="M107" s="97"/>
      <c r="N107" s="151"/>
      <c r="O107" s="97"/>
    </row>
    <row r="108" spans="10:16">
      <c r="L108" s="142"/>
      <c r="M108" s="97"/>
      <c r="N108" s="151"/>
      <c r="O108" s="97"/>
    </row>
    <row r="109" spans="10:16">
      <c r="L109" s="142"/>
      <c r="M109" s="151"/>
      <c r="N109" s="97"/>
      <c r="O109" s="97"/>
    </row>
    <row r="110" spans="10:16">
      <c r="L110" s="142"/>
      <c r="M110" s="151"/>
      <c r="N110" s="151"/>
      <c r="O110" s="97"/>
    </row>
    <row r="111" spans="10:16">
      <c r="L111" s="142"/>
      <c r="M111" s="151"/>
      <c r="N111" s="151"/>
      <c r="O111" s="97"/>
    </row>
    <row r="112" spans="10:16">
      <c r="L112" s="142"/>
      <c r="M112" s="97"/>
      <c r="N112" s="151"/>
      <c r="O112" s="97"/>
    </row>
    <row r="113" spans="1:17">
      <c r="L113" s="142"/>
      <c r="M113" s="97"/>
      <c r="N113" s="151"/>
      <c r="O113" s="97"/>
    </row>
    <row r="114" spans="1:17">
      <c r="L114" s="142"/>
      <c r="M114" s="151"/>
      <c r="N114" s="97"/>
      <c r="O114" s="97"/>
    </row>
    <row r="115" spans="1:17">
      <c r="J115" s="145"/>
      <c r="L115" s="142"/>
      <c r="M115" s="151"/>
      <c r="N115" s="151"/>
      <c r="O115" s="142"/>
      <c r="P115" s="97"/>
      <c r="Q115" s="97"/>
    </row>
    <row r="116" spans="1:17">
      <c r="J116" s="145"/>
      <c r="L116" s="142"/>
      <c r="M116" s="151"/>
      <c r="N116" s="151"/>
      <c r="O116" s="97"/>
    </row>
    <row r="117" spans="1:17">
      <c r="L117" s="142"/>
      <c r="M117" s="97"/>
      <c r="N117" s="151"/>
      <c r="O117" s="97"/>
    </row>
    <row r="118" spans="1:17">
      <c r="L118" s="142"/>
      <c r="M118" s="151"/>
      <c r="N118" s="97"/>
      <c r="O118" s="97"/>
    </row>
    <row r="119" spans="1:17">
      <c r="L119" s="142"/>
      <c r="M119" s="97"/>
      <c r="N119" s="151"/>
      <c r="O119" s="97"/>
    </row>
    <row r="120" spans="1:17">
      <c r="L120" s="142"/>
      <c r="M120" s="97"/>
      <c r="N120" s="97"/>
      <c r="O120" s="97"/>
    </row>
    <row r="121" spans="1:17">
      <c r="J121" s="145"/>
      <c r="L121" s="142"/>
      <c r="M121" s="97"/>
      <c r="N121" s="97"/>
      <c r="O121" s="97"/>
    </row>
    <row r="122" spans="1:17">
      <c r="K122" s="145"/>
      <c r="M122" s="151"/>
      <c r="N122" s="97"/>
      <c r="O122" s="97"/>
    </row>
    <row r="123" spans="1:17">
      <c r="J123" s="145"/>
      <c r="K123" s="145"/>
      <c r="M123" s="97"/>
      <c r="N123" s="151"/>
      <c r="O123" s="97"/>
    </row>
    <row r="124" spans="1:17">
      <c r="K124" s="145"/>
      <c r="M124" s="151"/>
      <c r="N124" s="97"/>
      <c r="O124" s="97"/>
    </row>
    <row r="125" spans="1:17">
      <c r="A125" t="s">
        <v>67</v>
      </c>
      <c r="M125" s="151"/>
      <c r="N125" s="151"/>
      <c r="O125" s="97"/>
    </row>
    <row r="126" spans="1:17">
      <c r="M126" s="97"/>
      <c r="N126" s="151"/>
      <c r="O126" s="97"/>
    </row>
    <row r="127" spans="1:17">
      <c r="M127" s="97"/>
      <c r="N127" s="97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topLeftCell="D1" workbookViewId="0">
      <selection activeCell="G17" sqref="G17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29" t="s">
        <v>68</v>
      </c>
      <c r="E9" s="229"/>
      <c r="F9" s="229"/>
      <c r="G9" s="229"/>
      <c r="H9" s="51"/>
    </row>
    <row r="10" spans="4:14" ht="15.75">
      <c r="D10" s="229" t="s">
        <v>69</v>
      </c>
      <c r="E10" s="229"/>
      <c r="F10" s="229"/>
      <c r="G10" s="229"/>
      <c r="H10" s="51"/>
    </row>
    <row r="11" spans="4:14" ht="15.75">
      <c r="D11" s="229" t="s">
        <v>155</v>
      </c>
      <c r="E11" s="229"/>
      <c r="F11" s="229"/>
      <c r="G11" s="229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20459273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71">
        <v>5772229</v>
      </c>
      <c r="H17" s="51"/>
    </row>
    <row r="18" spans="4:8" ht="15.75">
      <c r="D18" s="51"/>
      <c r="E18" s="51"/>
      <c r="F18" s="51"/>
      <c r="G18" s="72"/>
      <c r="H18" s="2"/>
    </row>
    <row r="19" spans="4:8" ht="15">
      <c r="D19" s="51"/>
      <c r="E19" s="51"/>
      <c r="F19" s="51"/>
      <c r="G19" s="73"/>
      <c r="H19" s="51"/>
    </row>
    <row r="20" spans="4:8" ht="15.75">
      <c r="D20" s="51" t="s">
        <v>74</v>
      </c>
      <c r="E20" s="51"/>
      <c r="F20" s="51"/>
      <c r="G20" s="74">
        <f>+G15+G17</f>
        <v>26231502</v>
      </c>
      <c r="H20" s="51"/>
    </row>
    <row r="21" spans="4:8" ht="15">
      <c r="D21" s="51"/>
      <c r="E21" s="51"/>
      <c r="F21" s="51"/>
      <c r="G21" s="75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Z142"/>
  <sheetViews>
    <sheetView zoomScaleSheetLayoutView="100" workbookViewId="0">
      <selection activeCell="M63" sqref="M63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</cols>
  <sheetData>
    <row r="8" spans="1:16" ht="13.5" thickBot="1"/>
    <row r="9" spans="1:16">
      <c r="A9" s="214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4"/>
      <c r="P9" s="5"/>
    </row>
    <row r="10" spans="1:16" ht="15">
      <c r="A10" s="217" t="s">
        <v>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9"/>
      <c r="O10" s="96"/>
      <c r="P10" s="5"/>
    </row>
    <row r="11" spans="1:16" ht="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220" t="s">
        <v>2</v>
      </c>
      <c r="N11" s="221"/>
      <c r="O11" s="96"/>
      <c r="P11" s="5"/>
    </row>
    <row r="12" spans="1:16" ht="15">
      <c r="A12" s="78" t="s">
        <v>3</v>
      </c>
      <c r="B12" s="79"/>
      <c r="C12" s="79"/>
      <c r="D12" s="79" t="s">
        <v>4</v>
      </c>
      <c r="E12" s="79"/>
      <c r="F12" s="79"/>
      <c r="G12" s="79"/>
      <c r="H12" s="79"/>
      <c r="I12" s="79"/>
      <c r="J12" s="79"/>
      <c r="K12" s="79"/>
      <c r="M12" s="222" t="s">
        <v>5</v>
      </c>
      <c r="N12" s="223"/>
      <c r="O12" s="99"/>
      <c r="P12" s="5"/>
    </row>
    <row r="13" spans="1:16" ht="15">
      <c r="A13" s="78" t="s">
        <v>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M13" s="100" t="s">
        <v>7</v>
      </c>
      <c r="N13" s="13"/>
      <c r="O13" s="98"/>
      <c r="P13" s="5"/>
    </row>
    <row r="14" spans="1:16" ht="15">
      <c r="A14" s="78" t="s">
        <v>154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M14" s="100" t="s">
        <v>8</v>
      </c>
      <c r="N14" s="13"/>
      <c r="O14" s="98"/>
      <c r="P14" s="5"/>
    </row>
    <row r="15" spans="1:16" ht="15.75" thickBot="1">
      <c r="A15" s="78" t="s">
        <v>141</v>
      </c>
      <c r="B15" s="79"/>
      <c r="C15" s="79"/>
      <c r="D15" s="79"/>
      <c r="M15" s="100" t="s">
        <v>9</v>
      </c>
      <c r="N15" s="13"/>
      <c r="O15" s="101"/>
      <c r="P15" s="5"/>
    </row>
    <row r="16" spans="1:16" ht="13.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2"/>
      <c r="M16" s="103"/>
      <c r="N16" s="104"/>
      <c r="P16" s="5"/>
    </row>
    <row r="17" spans="1:21">
      <c r="A17" s="224" t="s">
        <v>10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L17" s="227" t="s">
        <v>11</v>
      </c>
      <c r="M17" s="227"/>
      <c r="N17" s="228"/>
      <c r="P17" s="5"/>
    </row>
    <row r="18" spans="1:21">
      <c r="A18" s="209" t="s">
        <v>12</v>
      </c>
      <c r="B18" s="210"/>
      <c r="C18" s="209"/>
      <c r="D18" s="209"/>
      <c r="E18" s="209"/>
      <c r="F18" s="209"/>
      <c r="G18" s="209"/>
      <c r="H18" s="209"/>
      <c r="I18" s="211" t="s">
        <v>13</v>
      </c>
      <c r="J18" s="212"/>
      <c r="K18" s="213"/>
      <c r="L18" s="105" t="s">
        <v>14</v>
      </c>
      <c r="M18" s="106" t="s">
        <v>15</v>
      </c>
      <c r="N18" s="107" t="s">
        <v>16</v>
      </c>
      <c r="P18" s="5"/>
    </row>
    <row r="19" spans="1:21" ht="24.75" customHeight="1" thickBot="1">
      <c r="A19" s="82" t="s">
        <v>17</v>
      </c>
      <c r="B19" s="83" t="s">
        <v>18</v>
      </c>
      <c r="C19" s="82" t="s">
        <v>19</v>
      </c>
      <c r="D19" s="82" t="s">
        <v>20</v>
      </c>
      <c r="E19" s="82" t="s">
        <v>21</v>
      </c>
      <c r="F19" s="82" t="s">
        <v>22</v>
      </c>
      <c r="G19" s="82" t="s">
        <v>23</v>
      </c>
      <c r="H19" s="84"/>
      <c r="I19" s="82" t="s">
        <v>24</v>
      </c>
      <c r="J19" s="108" t="s">
        <v>25</v>
      </c>
      <c r="K19" s="108" t="s">
        <v>26</v>
      </c>
      <c r="L19" s="109" t="s">
        <v>27</v>
      </c>
      <c r="M19" s="110" t="s">
        <v>28</v>
      </c>
      <c r="N19" s="111" t="s">
        <v>29</v>
      </c>
    </row>
    <row r="20" spans="1:21" ht="13.5" thickBot="1">
      <c r="A20" s="85"/>
      <c r="B20" s="86"/>
      <c r="C20" s="85"/>
      <c r="D20" s="85"/>
      <c r="E20" s="85"/>
      <c r="F20" s="85"/>
      <c r="G20" s="85"/>
      <c r="H20" s="87"/>
      <c r="I20" s="85"/>
      <c r="J20" s="112"/>
      <c r="K20" s="112"/>
      <c r="L20" s="113"/>
      <c r="M20" s="114"/>
      <c r="N20" s="115"/>
    </row>
    <row r="21" spans="1:21" ht="12.75" customHeight="1">
      <c r="A21" s="88" t="s">
        <v>30</v>
      </c>
      <c r="B21" s="89"/>
      <c r="C21" s="90"/>
      <c r="D21" s="91" t="s">
        <v>30</v>
      </c>
      <c r="E21" s="89"/>
      <c r="F21" s="89"/>
      <c r="H21" s="90"/>
      <c r="I21" s="89">
        <v>2</v>
      </c>
      <c r="J21" s="89"/>
      <c r="K21" s="89"/>
      <c r="L21" s="152" t="s">
        <v>116</v>
      </c>
      <c r="M21" s="116">
        <f>+M22+M26+M29+M32</f>
        <v>3587937</v>
      </c>
      <c r="N21" s="117">
        <f>+N22+N26+N29+N32</f>
        <v>3535989</v>
      </c>
      <c r="O21" s="118" t="e">
        <f>+#REF!+#REF!+#REF!+#REF!+#REF!</f>
        <v>#REF!</v>
      </c>
    </row>
    <row r="22" spans="1:21">
      <c r="A22" s="92"/>
      <c r="B22" s="93"/>
      <c r="C22" s="94"/>
      <c r="D22" s="95"/>
      <c r="E22" s="93"/>
      <c r="F22" s="93"/>
      <c r="G22" s="93"/>
      <c r="H22" s="94"/>
      <c r="I22" s="93"/>
      <c r="J22" s="119" t="s">
        <v>31</v>
      </c>
      <c r="K22" s="93"/>
      <c r="L22" s="120" t="s">
        <v>122</v>
      </c>
      <c r="M22" s="121">
        <f>+M23+M25+M24</f>
        <v>2704850</v>
      </c>
      <c r="N22" s="122">
        <f>SUM(N23+N25+N24)</f>
        <v>2704850</v>
      </c>
      <c r="Q22" s="50"/>
    </row>
    <row r="23" spans="1:21">
      <c r="A23" s="92"/>
      <c r="B23" s="93"/>
      <c r="C23" s="94"/>
      <c r="D23" s="95"/>
      <c r="E23" s="93"/>
      <c r="F23" s="93"/>
      <c r="G23" s="93">
        <v>9995</v>
      </c>
      <c r="H23" s="94"/>
      <c r="I23" s="93"/>
      <c r="J23" s="119"/>
      <c r="K23" s="119">
        <v>1.1000000000000001</v>
      </c>
      <c r="L23" s="123" t="s">
        <v>32</v>
      </c>
      <c r="M23" s="124">
        <v>1904850</v>
      </c>
      <c r="N23" s="124">
        <f>+M23</f>
        <v>1904850</v>
      </c>
    </row>
    <row r="24" spans="1:21">
      <c r="A24" s="92"/>
      <c r="B24" s="93"/>
      <c r="C24" s="94"/>
      <c r="D24" s="95"/>
      <c r="E24" s="93"/>
      <c r="F24" s="93"/>
      <c r="H24" s="94"/>
      <c r="I24" s="93"/>
      <c r="J24" s="119">
        <v>2.11</v>
      </c>
      <c r="K24" s="119" t="s">
        <v>159</v>
      </c>
      <c r="L24" s="142" t="s">
        <v>160</v>
      </c>
      <c r="M24" s="124">
        <v>70000</v>
      </c>
      <c r="N24" s="124">
        <f>+M24</f>
        <v>70000</v>
      </c>
    </row>
    <row r="25" spans="1:21">
      <c r="A25" s="92"/>
      <c r="B25" s="93"/>
      <c r="C25" s="94"/>
      <c r="D25" s="95"/>
      <c r="E25" s="153"/>
      <c r="F25" s="93"/>
      <c r="H25" s="94"/>
      <c r="I25" s="93"/>
      <c r="J25" s="119">
        <v>1.1000000000000001</v>
      </c>
      <c r="K25" s="119">
        <v>2.1</v>
      </c>
      <c r="L25" t="s">
        <v>33</v>
      </c>
      <c r="M25" s="125">
        <v>730000</v>
      </c>
      <c r="N25" s="124">
        <f>+M25</f>
        <v>730000</v>
      </c>
      <c r="P25" s="126"/>
      <c r="T25" s="3"/>
    </row>
    <row r="26" spans="1:21">
      <c r="A26" s="92"/>
      <c r="B26" s="93"/>
      <c r="C26" s="94"/>
      <c r="D26" s="95"/>
      <c r="E26" s="93"/>
      <c r="F26" s="93"/>
      <c r="H26" s="94"/>
      <c r="I26" s="93"/>
      <c r="J26" s="119">
        <v>1.2</v>
      </c>
      <c r="K26" s="119"/>
      <c r="L26" s="120" t="s">
        <v>34</v>
      </c>
      <c r="M26" s="127">
        <f>SUM(M27+M28)</f>
        <v>387100</v>
      </c>
      <c r="N26" s="127">
        <f>SUM(N27+N28)</f>
        <v>335152</v>
      </c>
      <c r="R26">
        <f>5000-4130</f>
        <v>870</v>
      </c>
    </row>
    <row r="27" spans="1:21">
      <c r="A27" s="92"/>
      <c r="B27" s="93"/>
      <c r="C27" s="94"/>
      <c r="D27" s="95"/>
      <c r="E27" s="93"/>
      <c r="F27" s="93"/>
      <c r="H27" s="94"/>
      <c r="I27" s="93"/>
      <c r="J27" s="119"/>
      <c r="K27" s="119" t="s">
        <v>35</v>
      </c>
      <c r="L27" s="123" t="s">
        <v>123</v>
      </c>
      <c r="M27" s="124">
        <v>223500</v>
      </c>
      <c r="N27" s="124">
        <v>171552</v>
      </c>
      <c r="R27" s="3"/>
      <c r="S27" s="3">
        <v>1851850</v>
      </c>
    </row>
    <row r="28" spans="1:21">
      <c r="A28" s="92"/>
      <c r="B28" s="93"/>
      <c r="C28" s="94"/>
      <c r="D28" s="95"/>
      <c r="E28" s="93"/>
      <c r="F28" s="93"/>
      <c r="H28" s="94"/>
      <c r="I28" s="93"/>
      <c r="J28" s="119"/>
      <c r="K28" s="119" t="s">
        <v>36</v>
      </c>
      <c r="L28" s="123" t="s">
        <v>37</v>
      </c>
      <c r="M28" s="124">
        <v>163600</v>
      </c>
      <c r="N28" s="124">
        <f>+M28</f>
        <v>163600</v>
      </c>
      <c r="R28" s="3"/>
      <c r="S28" s="3">
        <v>53000</v>
      </c>
      <c r="U28">
        <v>17127.55</v>
      </c>
    </row>
    <row r="29" spans="1:21">
      <c r="A29" s="92"/>
      <c r="B29" s="93"/>
      <c r="C29" s="94"/>
      <c r="D29" s="95"/>
      <c r="E29" s="93"/>
      <c r="F29" s="93"/>
      <c r="H29" s="94"/>
      <c r="I29" s="93"/>
      <c r="J29" s="129">
        <v>1.3</v>
      </c>
      <c r="K29" s="119"/>
      <c r="L29" s="120" t="s">
        <v>119</v>
      </c>
      <c r="M29" s="127">
        <f>SUM(M30+M31)</f>
        <v>100000</v>
      </c>
      <c r="N29" s="127">
        <f>SUM(N30+N31)</f>
        <v>100000</v>
      </c>
      <c r="Q29" s="134"/>
      <c r="R29" s="3"/>
      <c r="S29" s="50">
        <f>SUM(S27:S28)</f>
        <v>1904850</v>
      </c>
      <c r="U29">
        <v>7042.2</v>
      </c>
    </row>
    <row r="30" spans="1:21">
      <c r="A30" s="92"/>
      <c r="B30" s="93"/>
      <c r="C30" s="94"/>
      <c r="D30" s="95"/>
      <c r="E30" s="93"/>
      <c r="F30" s="93"/>
      <c r="H30" s="94"/>
      <c r="I30" s="93"/>
      <c r="J30" s="119"/>
      <c r="K30" s="119" t="s">
        <v>38</v>
      </c>
      <c r="L30" s="123" t="s">
        <v>39</v>
      </c>
      <c r="M30" s="124">
        <v>50000</v>
      </c>
      <c r="N30" s="124">
        <v>50000</v>
      </c>
      <c r="Q30" s="134"/>
      <c r="R30" s="3"/>
      <c r="U30">
        <v>583</v>
      </c>
    </row>
    <row r="31" spans="1:21">
      <c r="A31" s="92"/>
      <c r="B31" s="93"/>
      <c r="C31" s="94"/>
      <c r="D31" s="95"/>
      <c r="E31" s="93"/>
      <c r="F31" s="93"/>
      <c r="H31" s="94"/>
      <c r="I31" s="93"/>
      <c r="J31" s="119"/>
      <c r="K31" s="190" t="s">
        <v>40</v>
      </c>
      <c r="L31" s="155" t="s">
        <v>120</v>
      </c>
      <c r="M31" s="97">
        <v>50000</v>
      </c>
      <c r="N31" s="97">
        <v>50000</v>
      </c>
      <c r="Q31" s="134"/>
      <c r="S31" s="50">
        <f>+S29+730000</f>
        <v>2634850</v>
      </c>
      <c r="U31">
        <f>+U28+U29+U30</f>
        <v>24752.75</v>
      </c>
    </row>
    <row r="32" spans="1:21">
      <c r="A32" s="92"/>
      <c r="B32" s="93"/>
      <c r="C32" s="94"/>
      <c r="D32" s="95"/>
      <c r="E32" s="93"/>
      <c r="F32" s="93"/>
      <c r="H32" s="94"/>
      <c r="I32" s="93"/>
      <c r="J32" s="119">
        <v>1.5</v>
      </c>
      <c r="K32" s="119"/>
      <c r="L32" s="120" t="s">
        <v>41</v>
      </c>
      <c r="M32" s="130">
        <f>SUM(M33+M34+M35)</f>
        <v>395987</v>
      </c>
      <c r="N32" s="130">
        <f>SUM(N33+N34+N35)</f>
        <v>395987</v>
      </c>
      <c r="Q32" s="134"/>
      <c r="S32" s="3">
        <v>2704850</v>
      </c>
    </row>
    <row r="33" spans="1:22">
      <c r="A33" s="92"/>
      <c r="B33" s="93"/>
      <c r="C33" s="94"/>
      <c r="D33" s="95"/>
      <c r="E33" s="93"/>
      <c r="F33" s="93"/>
      <c r="H33" s="94"/>
      <c r="I33" s="93"/>
      <c r="J33" s="93"/>
      <c r="K33" s="93">
        <v>5.0999999999999996</v>
      </c>
      <c r="L33" s="123" t="s">
        <v>42</v>
      </c>
      <c r="M33" s="3">
        <v>184160</v>
      </c>
      <c r="N33" s="125">
        <f>+M33</f>
        <v>184160</v>
      </c>
      <c r="Q33" s="59"/>
      <c r="S33" s="50"/>
    </row>
    <row r="34" spans="1:22">
      <c r="A34" s="92"/>
      <c r="B34" s="93"/>
      <c r="C34" s="94"/>
      <c r="D34" s="95"/>
      <c r="E34" s="93"/>
      <c r="F34" s="93"/>
      <c r="H34" s="94"/>
      <c r="I34" s="93"/>
      <c r="J34" s="93"/>
      <c r="K34" s="93">
        <v>5.2</v>
      </c>
      <c r="L34" s="123" t="s">
        <v>43</v>
      </c>
      <c r="M34" s="3">
        <v>187074</v>
      </c>
      <c r="N34" s="172">
        <f>+M34</f>
        <v>187074</v>
      </c>
      <c r="S34" s="50">
        <f>+S32-S31</f>
        <v>70000</v>
      </c>
    </row>
    <row r="35" spans="1:22">
      <c r="A35" s="92"/>
      <c r="B35" s="93"/>
      <c r="C35" s="94"/>
      <c r="D35" s="95"/>
      <c r="E35" s="93"/>
      <c r="F35" s="93"/>
      <c r="H35" s="94"/>
      <c r="I35" s="93"/>
      <c r="J35" s="93"/>
      <c r="K35" s="93">
        <v>5.3</v>
      </c>
      <c r="L35" s="123" t="s">
        <v>44</v>
      </c>
      <c r="M35" s="3">
        <v>24753</v>
      </c>
      <c r="N35" s="124">
        <f>+M35</f>
        <v>24753</v>
      </c>
      <c r="Q35" s="3"/>
    </row>
    <row r="36" spans="1:22">
      <c r="A36" s="92"/>
      <c r="B36" s="93"/>
      <c r="C36" s="94"/>
      <c r="D36" s="95"/>
      <c r="E36" s="93"/>
      <c r="F36" s="93"/>
      <c r="H36" s="94"/>
      <c r="I36" s="93">
        <v>2</v>
      </c>
      <c r="J36" s="93"/>
      <c r="K36" s="93"/>
      <c r="L36" s="120" t="s">
        <v>45</v>
      </c>
      <c r="M36" s="131">
        <f>SUM(+M41+M44+M52+M54+M56+M39+M37)</f>
        <v>1390357.87</v>
      </c>
      <c r="N36" s="131">
        <f>SUM(+N41+N44+N52+N54+N39+N37+N56)</f>
        <v>1539289.1</v>
      </c>
    </row>
    <row r="37" spans="1:22">
      <c r="A37" s="92"/>
      <c r="B37" s="93"/>
      <c r="C37" s="94"/>
      <c r="D37" s="95"/>
      <c r="E37" s="93"/>
      <c r="F37" s="93"/>
      <c r="H37" s="94"/>
      <c r="I37" s="93"/>
      <c r="J37" s="93">
        <v>2.2000000000000002</v>
      </c>
      <c r="K37" s="93"/>
      <c r="L37" s="120" t="s">
        <v>142</v>
      </c>
      <c r="M37" s="131">
        <f>+M38</f>
        <v>8837</v>
      </c>
      <c r="N37" s="131">
        <f>+N38</f>
        <v>8837</v>
      </c>
    </row>
    <row r="38" spans="1:22">
      <c r="A38" s="92"/>
      <c r="B38" s="93"/>
      <c r="C38" s="94"/>
      <c r="D38" s="95"/>
      <c r="E38" s="93"/>
      <c r="F38" s="93"/>
      <c r="H38" s="94"/>
      <c r="I38" s="93"/>
      <c r="J38" s="93"/>
      <c r="K38" s="123" t="s">
        <v>143</v>
      </c>
      <c r="L38" s="3" t="s">
        <v>144</v>
      </c>
      <c r="M38" s="172">
        <v>8837</v>
      </c>
      <c r="N38" s="123">
        <f>+M38</f>
        <v>8837</v>
      </c>
    </row>
    <row r="39" spans="1:22">
      <c r="A39" s="92"/>
      <c r="B39" s="93"/>
      <c r="C39" s="94"/>
      <c r="D39" s="95"/>
      <c r="E39" s="93"/>
      <c r="F39" s="93"/>
      <c r="H39" s="94"/>
      <c r="I39" s="93"/>
      <c r="J39" s="133">
        <v>2.2999999999999998</v>
      </c>
      <c r="K39" s="120"/>
      <c r="L39" s="58" t="s">
        <v>145</v>
      </c>
      <c r="M39" s="206">
        <f>+M40</f>
        <v>64464</v>
      </c>
      <c r="N39" s="120">
        <f>+M39</f>
        <v>64464</v>
      </c>
      <c r="Q39" s="59"/>
    </row>
    <row r="40" spans="1:22">
      <c r="A40" s="92"/>
      <c r="B40" s="93"/>
      <c r="C40" s="94"/>
      <c r="D40" s="95"/>
      <c r="E40" s="93"/>
      <c r="F40" s="93"/>
      <c r="H40" s="94"/>
      <c r="I40" s="93"/>
      <c r="J40" s="93"/>
      <c r="K40" s="123" t="s">
        <v>146</v>
      </c>
      <c r="L40" s="3" t="s">
        <v>147</v>
      </c>
      <c r="M40" s="172">
        <v>64464</v>
      </c>
      <c r="N40" s="123">
        <f>+M40</f>
        <v>64464</v>
      </c>
    </row>
    <row r="41" spans="1:22">
      <c r="A41" s="92"/>
      <c r="B41" s="93"/>
      <c r="C41" s="94"/>
      <c r="D41" s="95"/>
      <c r="E41" s="93"/>
      <c r="F41" s="93"/>
      <c r="H41" s="94"/>
      <c r="I41" s="93"/>
      <c r="J41" s="133">
        <v>2.4</v>
      </c>
      <c r="K41" s="120"/>
      <c r="L41" s="58" t="s">
        <v>47</v>
      </c>
      <c r="M41" s="206">
        <f>SUM(M42+M43)</f>
        <v>15872</v>
      </c>
      <c r="N41" s="120">
        <f>SUM(N42+N43)</f>
        <v>15872</v>
      </c>
    </row>
    <row r="42" spans="1:22">
      <c r="A42" s="92"/>
      <c r="B42" s="93"/>
      <c r="C42" s="94"/>
      <c r="D42" s="95"/>
      <c r="E42" s="93"/>
      <c r="F42" s="93"/>
      <c r="H42" s="94"/>
      <c r="I42" s="93"/>
      <c r="J42" s="93"/>
      <c r="K42" s="123">
        <v>4.0999999999999996</v>
      </c>
      <c r="L42" s="3" t="s">
        <v>121</v>
      </c>
      <c r="M42" s="172">
        <v>12872</v>
      </c>
      <c r="N42" s="123">
        <f>+M42</f>
        <v>12872</v>
      </c>
    </row>
    <row r="43" spans="1:22">
      <c r="A43" s="92"/>
      <c r="B43" s="93"/>
      <c r="C43" s="94"/>
      <c r="D43" s="95"/>
      <c r="E43" s="93"/>
      <c r="F43" s="93"/>
      <c r="H43" s="94"/>
      <c r="I43" s="93"/>
      <c r="J43" s="93"/>
      <c r="K43" s="123" t="s">
        <v>161</v>
      </c>
      <c r="L43" s="3" t="s">
        <v>162</v>
      </c>
      <c r="M43" s="172">
        <v>3000</v>
      </c>
      <c r="N43" s="123">
        <f>+M43</f>
        <v>3000</v>
      </c>
    </row>
    <row r="44" spans="1:22">
      <c r="A44" s="92"/>
      <c r="B44" s="93"/>
      <c r="C44" s="94"/>
      <c r="D44" s="95"/>
      <c r="E44" s="93"/>
      <c r="F44" s="93"/>
      <c r="H44" s="94"/>
      <c r="I44" s="93"/>
      <c r="J44" s="93">
        <v>2.5</v>
      </c>
      <c r="K44" s="93"/>
      <c r="L44" s="120" t="s">
        <v>48</v>
      </c>
      <c r="M44" s="131">
        <f>+M45</f>
        <v>551948</v>
      </c>
      <c r="N44" s="131">
        <f>+N45+N46+N47+N48+N49</f>
        <v>722918.23</v>
      </c>
      <c r="U44" s="3"/>
      <c r="V44" s="3"/>
    </row>
    <row r="45" spans="1:22">
      <c r="A45" s="92"/>
      <c r="B45" s="93"/>
      <c r="C45" s="94"/>
      <c r="D45" s="95"/>
      <c r="E45" s="93"/>
      <c r="F45" s="93"/>
      <c r="H45" s="94"/>
      <c r="I45" s="93"/>
      <c r="J45" s="93"/>
      <c r="K45" s="93">
        <v>5.0999999999999996</v>
      </c>
      <c r="L45" s="123" t="s">
        <v>49</v>
      </c>
      <c r="M45" s="132">
        <v>551948</v>
      </c>
      <c r="N45" s="132">
        <v>528560</v>
      </c>
      <c r="Q45" s="198"/>
      <c r="V45" s="3"/>
    </row>
    <row r="46" spans="1:22">
      <c r="A46" s="92"/>
      <c r="B46" s="93"/>
      <c r="C46" s="94"/>
      <c r="D46" s="95"/>
      <c r="E46" s="93"/>
      <c r="F46" s="93"/>
      <c r="H46" s="94"/>
      <c r="I46" s="93"/>
      <c r="J46" s="93"/>
      <c r="K46" s="93" t="s">
        <v>167</v>
      </c>
      <c r="L46" s="123" t="s">
        <v>168</v>
      </c>
      <c r="M46" s="132">
        <v>152057</v>
      </c>
      <c r="N46" s="132">
        <v>146084</v>
      </c>
      <c r="Q46" s="198"/>
      <c r="V46" s="3"/>
    </row>
    <row r="47" spans="1:22">
      <c r="A47" s="92"/>
      <c r="B47" s="93"/>
      <c r="C47" s="94"/>
      <c r="D47" s="95"/>
      <c r="E47" s="93"/>
      <c r="F47" s="93"/>
      <c r="H47" s="94"/>
      <c r="I47" s="93"/>
      <c r="J47" s="93"/>
      <c r="K47" s="93" t="s">
        <v>169</v>
      </c>
      <c r="L47" s="123" t="s">
        <v>170</v>
      </c>
      <c r="M47" s="132">
        <v>47290.77</v>
      </c>
      <c r="N47" s="132">
        <v>44926.23</v>
      </c>
      <c r="Q47" s="198"/>
      <c r="V47" s="3"/>
    </row>
    <row r="48" spans="1:22">
      <c r="A48" s="92"/>
      <c r="B48" s="93"/>
      <c r="C48" s="94"/>
      <c r="D48" s="95"/>
      <c r="E48" s="93"/>
      <c r="F48" s="93"/>
      <c r="H48" s="94"/>
      <c r="I48" s="93"/>
      <c r="J48" s="93"/>
      <c r="K48" s="197" t="s">
        <v>196</v>
      </c>
      <c r="L48" s="196" t="s">
        <v>133</v>
      </c>
      <c r="M48" s="132">
        <v>756</v>
      </c>
      <c r="N48" s="132">
        <v>756</v>
      </c>
      <c r="Q48" s="198"/>
      <c r="V48" s="3"/>
    </row>
    <row r="49" spans="1:26">
      <c r="A49" s="92"/>
      <c r="B49" s="93"/>
      <c r="C49" s="94"/>
      <c r="D49" s="95"/>
      <c r="E49" s="93"/>
      <c r="F49" s="93"/>
      <c r="H49" s="94"/>
      <c r="I49" s="93"/>
      <c r="J49" s="93"/>
      <c r="K49" s="197" t="s">
        <v>188</v>
      </c>
      <c r="L49" s="196" t="s">
        <v>189</v>
      </c>
      <c r="M49" s="132">
        <v>2592</v>
      </c>
      <c r="N49" s="132">
        <v>2592</v>
      </c>
      <c r="Q49" s="198"/>
      <c r="V49" s="3"/>
    </row>
    <row r="50" spans="1:26">
      <c r="A50" s="92"/>
      <c r="B50" s="93"/>
      <c r="C50" s="94"/>
      <c r="D50" s="95"/>
      <c r="E50" s="93"/>
      <c r="F50" s="93"/>
      <c r="H50" s="94"/>
      <c r="I50" s="93"/>
      <c r="J50" s="93"/>
      <c r="K50" s="133" t="s">
        <v>197</v>
      </c>
      <c r="L50" s="120" t="s">
        <v>198</v>
      </c>
      <c r="M50" s="131">
        <f>+M51</f>
        <v>120559.03999999999</v>
      </c>
      <c r="N50" s="131">
        <f>+N51</f>
        <v>114531.09</v>
      </c>
      <c r="Q50" s="198"/>
      <c r="V50" s="3"/>
    </row>
    <row r="51" spans="1:26">
      <c r="A51" s="92"/>
      <c r="B51" s="93"/>
      <c r="C51" s="94"/>
      <c r="D51" s="95"/>
      <c r="E51" s="93"/>
      <c r="F51" s="93"/>
      <c r="H51" s="94"/>
      <c r="I51" s="93"/>
      <c r="J51" s="93"/>
      <c r="K51" s="197" t="s">
        <v>199</v>
      </c>
      <c r="L51" s="196" t="s">
        <v>200</v>
      </c>
      <c r="M51" s="132">
        <v>120559.03999999999</v>
      </c>
      <c r="N51" s="132">
        <v>114531.09</v>
      </c>
      <c r="Q51" s="198"/>
      <c r="V51" s="3"/>
    </row>
    <row r="52" spans="1:26">
      <c r="A52" s="92"/>
      <c r="B52" s="93"/>
      <c r="C52" s="94"/>
      <c r="D52" s="95"/>
      <c r="E52" s="93"/>
      <c r="F52" s="93"/>
      <c r="H52" s="94"/>
      <c r="I52" s="93"/>
      <c r="J52" s="93">
        <v>2.6</v>
      </c>
      <c r="K52" s="93"/>
      <c r="L52" s="120" t="s">
        <v>50</v>
      </c>
      <c r="M52" s="131">
        <f>+M53</f>
        <v>308016</v>
      </c>
      <c r="N52" s="131">
        <f>+N53</f>
        <v>292615</v>
      </c>
      <c r="V52" s="3"/>
    </row>
    <row r="53" spans="1:26">
      <c r="A53" s="92"/>
      <c r="B53" s="93"/>
      <c r="C53" s="94"/>
      <c r="D53" s="95"/>
      <c r="E53" s="93"/>
      <c r="F53" s="93"/>
      <c r="H53" s="94"/>
      <c r="I53" s="93"/>
      <c r="J53" s="93"/>
      <c r="K53" s="93">
        <v>6.3</v>
      </c>
      <c r="L53" s="123" t="s">
        <v>125</v>
      </c>
      <c r="M53" s="156">
        <v>308016</v>
      </c>
      <c r="N53" s="132">
        <v>292615</v>
      </c>
      <c r="V53" s="3"/>
      <c r="Z53" s="3"/>
    </row>
    <row r="54" spans="1:26">
      <c r="A54" s="92"/>
      <c r="B54" s="93"/>
      <c r="C54" s="94"/>
      <c r="D54" s="95"/>
      <c r="E54" s="93"/>
      <c r="F54" s="93"/>
      <c r="H54" s="94"/>
      <c r="I54" s="93"/>
      <c r="J54" s="93">
        <v>2.7</v>
      </c>
      <c r="K54" s="93"/>
      <c r="L54" s="120" t="s">
        <v>51</v>
      </c>
      <c r="M54" s="122">
        <f>+M55</f>
        <v>84129</v>
      </c>
      <c r="N54" s="122">
        <f>+N55</f>
        <v>80581</v>
      </c>
      <c r="V54" s="3"/>
    </row>
    <row r="55" spans="1:26">
      <c r="A55" s="92"/>
      <c r="B55" s="93"/>
      <c r="C55" s="94"/>
      <c r="D55" s="95"/>
      <c r="E55" s="93"/>
      <c r="F55" s="93"/>
      <c r="H55" s="94"/>
      <c r="I55" s="93"/>
      <c r="J55" s="93"/>
      <c r="K55" s="197" t="s">
        <v>163</v>
      </c>
      <c r="L55" s="196" t="s">
        <v>164</v>
      </c>
      <c r="M55" s="158">
        <v>84129</v>
      </c>
      <c r="N55" s="158">
        <v>80581</v>
      </c>
      <c r="T55" s="3"/>
    </row>
    <row r="56" spans="1:26">
      <c r="A56" s="92"/>
      <c r="B56" s="93"/>
      <c r="C56" s="94"/>
      <c r="D56" s="95"/>
      <c r="E56" s="93"/>
      <c r="F56" s="93"/>
      <c r="H56" s="94"/>
      <c r="I56" s="93"/>
      <c r="J56" s="93">
        <v>2.8</v>
      </c>
      <c r="K56" s="93"/>
      <c r="L56" s="120" t="s">
        <v>52</v>
      </c>
      <c r="M56" s="122">
        <f>+M57+M58++M59+M60+M61</f>
        <v>357091.87</v>
      </c>
      <c r="N56" s="122">
        <f>+N57+N58+N59+N60+N61</f>
        <v>354001.87</v>
      </c>
      <c r="R56" s="200">
        <v>120559.03999999999</v>
      </c>
      <c r="S56" s="3">
        <v>0</v>
      </c>
      <c r="U56" s="50">
        <f>+R56-S56</f>
        <v>120559.03999999999</v>
      </c>
      <c r="V56" s="205">
        <v>0.05</v>
      </c>
      <c r="W56" s="3">
        <f>+U56*V56</f>
        <v>6027.9520000000002</v>
      </c>
      <c r="X56" s="50">
        <f>+R56-W56</f>
        <v>114531.08799999999</v>
      </c>
    </row>
    <row r="57" spans="1:26">
      <c r="A57" s="92"/>
      <c r="B57" s="93"/>
      <c r="C57" s="94"/>
      <c r="D57" s="95"/>
      <c r="E57" s="93"/>
      <c r="F57" s="93"/>
      <c r="H57" s="94"/>
      <c r="I57" s="93"/>
      <c r="J57" s="93"/>
      <c r="K57" s="93" t="s">
        <v>53</v>
      </c>
      <c r="L57" s="123" t="s">
        <v>54</v>
      </c>
      <c r="M57" s="158">
        <v>4519</v>
      </c>
      <c r="N57" s="158">
        <f>+M57</f>
        <v>4519</v>
      </c>
      <c r="R57" s="3">
        <v>1845.01</v>
      </c>
      <c r="S57">
        <f>1845.01*18%</f>
        <v>332.10179999999997</v>
      </c>
      <c r="U57" s="50">
        <f>+R57-S57</f>
        <v>1512.9082000000001</v>
      </c>
      <c r="V57" s="205">
        <f>+V56</f>
        <v>0.05</v>
      </c>
      <c r="W57" s="50">
        <v>92.67</v>
      </c>
      <c r="X57" s="50">
        <f>+R57-W57</f>
        <v>1752.34</v>
      </c>
    </row>
    <row r="58" spans="1:26">
      <c r="A58" s="92"/>
      <c r="B58" s="93"/>
      <c r="C58" s="94"/>
      <c r="D58" s="95"/>
      <c r="E58" s="93"/>
      <c r="F58" s="93"/>
      <c r="H58" s="94"/>
      <c r="I58" s="93"/>
      <c r="J58" s="93"/>
      <c r="K58" s="197" t="s">
        <v>165</v>
      </c>
      <c r="L58" s="196" t="s">
        <v>166</v>
      </c>
      <c r="M58" s="158">
        <f>132993.87+128600</f>
        <v>261593.87</v>
      </c>
      <c r="N58" s="158">
        <f t="shared" ref="N58" si="0">+M58</f>
        <v>261593.87</v>
      </c>
      <c r="R58" s="3">
        <v>10554.97</v>
      </c>
      <c r="S58" s="3">
        <f>10554.97*18%</f>
        <v>1899.8945999999999</v>
      </c>
      <c r="T58" s="50"/>
      <c r="U58" s="50">
        <f>+R58-S58</f>
        <v>8655.0753999999997</v>
      </c>
      <c r="V58" s="205">
        <f>+V57</f>
        <v>0.05</v>
      </c>
      <c r="W58" s="50">
        <f>+U58*V58</f>
        <v>432.75377000000003</v>
      </c>
      <c r="X58" s="50">
        <f>+R58-W58</f>
        <v>10122.21623</v>
      </c>
    </row>
    <row r="59" spans="1:26">
      <c r="A59" s="92"/>
      <c r="B59" s="93"/>
      <c r="C59" s="94"/>
      <c r="D59" s="95"/>
      <c r="E59" s="93"/>
      <c r="F59" s="93"/>
      <c r="H59" s="94"/>
      <c r="I59" s="93"/>
      <c r="J59" s="93"/>
      <c r="K59" s="93" t="s">
        <v>171</v>
      </c>
      <c r="L59" s="196" t="s">
        <v>148</v>
      </c>
      <c r="M59" s="196">
        <v>2055</v>
      </c>
      <c r="N59" s="196">
        <v>2055</v>
      </c>
      <c r="T59" s="50"/>
    </row>
    <row r="60" spans="1:26">
      <c r="A60" s="92"/>
      <c r="B60" s="93"/>
      <c r="C60" s="94"/>
      <c r="D60" s="95"/>
      <c r="E60" s="93"/>
      <c r="F60" s="93"/>
      <c r="H60" s="94"/>
      <c r="I60" s="93"/>
      <c r="J60" s="93"/>
      <c r="K60" s="93" t="s">
        <v>180</v>
      </c>
      <c r="L60" s="196" t="s">
        <v>181</v>
      </c>
      <c r="M60" s="196">
        <v>72924</v>
      </c>
      <c r="N60" s="196">
        <v>69834</v>
      </c>
    </row>
    <row r="61" spans="1:26">
      <c r="A61" s="92"/>
      <c r="B61" s="93"/>
      <c r="C61" s="94"/>
      <c r="D61" s="95"/>
      <c r="E61" s="93"/>
      <c r="F61" s="93"/>
      <c r="H61" s="94"/>
      <c r="I61" s="93"/>
      <c r="J61" s="93"/>
      <c r="K61" s="93" t="s">
        <v>194</v>
      </c>
      <c r="L61" s="196" t="s">
        <v>195</v>
      </c>
      <c r="M61" s="196">
        <v>16000</v>
      </c>
      <c r="N61" s="196">
        <v>16000</v>
      </c>
      <c r="R61" s="50">
        <f>SUM(R56:R60)</f>
        <v>132959.01999999999</v>
      </c>
      <c r="S61" s="50">
        <f>SUM(S56:S60)</f>
        <v>2231.9964</v>
      </c>
      <c r="U61" s="50">
        <f>SUM(U56:U60)</f>
        <v>130727.0236</v>
      </c>
      <c r="W61" s="50">
        <f>SUM(W56:W60)</f>
        <v>6553.3757700000006</v>
      </c>
      <c r="X61" s="50">
        <f>SUM(X56:X60)</f>
        <v>126405.64422999999</v>
      </c>
    </row>
    <row r="62" spans="1:26">
      <c r="A62" s="92"/>
      <c r="B62" s="93"/>
      <c r="C62" s="94"/>
      <c r="D62" s="95"/>
      <c r="E62" s="93"/>
      <c r="F62" s="93"/>
      <c r="H62" s="94"/>
      <c r="I62" s="93">
        <v>2</v>
      </c>
      <c r="J62" s="93">
        <v>3</v>
      </c>
      <c r="K62" s="93"/>
      <c r="L62" s="120" t="s">
        <v>55</v>
      </c>
      <c r="M62" s="122">
        <f>SUM(M63+M68+M71+M66)</f>
        <v>737381.87999999989</v>
      </c>
      <c r="N62" s="122">
        <f>SUM(N63+N68+N71+N66+N79+N77)</f>
        <v>894364.62000000011</v>
      </c>
      <c r="W62">
        <v>6553.38</v>
      </c>
    </row>
    <row r="63" spans="1:26">
      <c r="A63" s="92"/>
      <c r="B63" s="93"/>
      <c r="C63" s="94"/>
      <c r="D63" s="95"/>
      <c r="E63" s="93"/>
      <c r="F63" s="93"/>
      <c r="H63" s="94"/>
      <c r="I63" s="93"/>
      <c r="J63" s="93">
        <v>3.1</v>
      </c>
      <c r="K63" s="93" t="s">
        <v>56</v>
      </c>
      <c r="L63" s="123" t="s">
        <v>57</v>
      </c>
      <c r="M63" s="122">
        <f>+M64+M65</f>
        <v>270190</v>
      </c>
      <c r="N63" s="122">
        <f>+N64+N65</f>
        <v>260929</v>
      </c>
      <c r="R63">
        <f>8944.89+1610.08</f>
        <v>10554.97</v>
      </c>
      <c r="W63" s="50"/>
    </row>
    <row r="64" spans="1:26">
      <c r="A64" s="92"/>
      <c r="B64" s="93"/>
      <c r="C64" s="94"/>
      <c r="D64" s="95"/>
      <c r="E64" s="93"/>
      <c r="F64" s="93"/>
      <c r="H64" s="94"/>
      <c r="I64" s="93"/>
      <c r="J64" s="93"/>
      <c r="K64" s="93" t="s">
        <v>58</v>
      </c>
      <c r="L64" s="93" t="s">
        <v>59</v>
      </c>
      <c r="M64" s="124">
        <v>269805</v>
      </c>
      <c r="N64" s="124">
        <v>260544</v>
      </c>
      <c r="Q64" s="50"/>
      <c r="R64">
        <f>1563.57+281.44</f>
        <v>1845.01</v>
      </c>
      <c r="S64" s="3"/>
      <c r="W64">
        <f>432.75-17.03</f>
        <v>415.72</v>
      </c>
    </row>
    <row r="65" spans="1:24">
      <c r="A65" s="92"/>
      <c r="B65" s="93"/>
      <c r="C65" s="94"/>
      <c r="D65" s="95"/>
      <c r="E65" s="93"/>
      <c r="F65" s="93"/>
      <c r="H65" s="94"/>
      <c r="I65" s="93"/>
      <c r="J65" s="93"/>
      <c r="K65" s="197" t="s">
        <v>149</v>
      </c>
      <c r="L65" s="196" t="s">
        <v>150</v>
      </c>
      <c r="M65" s="125">
        <v>385</v>
      </c>
      <c r="N65" s="125">
        <v>385</v>
      </c>
      <c r="T65" s="50"/>
    </row>
    <row r="66" spans="1:24">
      <c r="A66" s="92"/>
      <c r="B66" s="93"/>
      <c r="C66" s="94"/>
      <c r="D66" s="95"/>
      <c r="E66" s="93"/>
      <c r="F66" s="93"/>
      <c r="H66" s="94"/>
      <c r="I66" s="93"/>
      <c r="J66" s="93"/>
      <c r="K66" s="133" t="s">
        <v>192</v>
      </c>
      <c r="L66" s="120" t="s">
        <v>193</v>
      </c>
      <c r="M66" s="122">
        <v>106011.2</v>
      </c>
      <c r="N66" s="122">
        <v>101487</v>
      </c>
      <c r="T66" s="50"/>
      <c r="U66">
        <v>126405.64</v>
      </c>
    </row>
    <row r="67" spans="1:24">
      <c r="A67" s="92"/>
      <c r="B67" s="93"/>
      <c r="C67" s="94"/>
      <c r="D67" s="95"/>
      <c r="E67" s="93"/>
      <c r="F67" s="93"/>
      <c r="H67" s="94"/>
      <c r="I67" s="93"/>
      <c r="J67" s="93">
        <v>2</v>
      </c>
      <c r="K67" s="197" t="s">
        <v>190</v>
      </c>
      <c r="L67" s="196" t="s">
        <v>191</v>
      </c>
      <c r="M67" s="125">
        <v>106011.2</v>
      </c>
      <c r="N67" s="125">
        <v>101487</v>
      </c>
      <c r="R67" s="3">
        <f>131067.5*5%</f>
        <v>6553.375</v>
      </c>
      <c r="T67" s="50"/>
      <c r="V67" s="50">
        <f>+X61-U66</f>
        <v>4.2299999913666397E-3</v>
      </c>
    </row>
    <row r="68" spans="1:24">
      <c r="A68" s="92"/>
      <c r="B68" s="93"/>
      <c r="C68" s="94"/>
      <c r="D68" s="95"/>
      <c r="E68" s="93"/>
      <c r="F68" s="93"/>
      <c r="H68" s="94"/>
      <c r="I68" s="93"/>
      <c r="J68" s="93">
        <v>3.7</v>
      </c>
      <c r="K68" s="133"/>
      <c r="L68" s="120" t="s">
        <v>60</v>
      </c>
      <c r="M68" s="122">
        <f>+M69+M70</f>
        <v>204033</v>
      </c>
      <c r="N68" s="122">
        <f>+N69+N70</f>
        <v>204033</v>
      </c>
      <c r="T68" s="3"/>
      <c r="U68" s="3"/>
    </row>
    <row r="69" spans="1:24">
      <c r="A69" s="92"/>
      <c r="B69" s="93"/>
      <c r="C69" s="94"/>
      <c r="D69" s="95"/>
      <c r="E69" s="93"/>
      <c r="F69" s="93"/>
      <c r="H69" s="94"/>
      <c r="I69" s="93"/>
      <c r="J69" s="93"/>
      <c r="K69" s="93" t="s">
        <v>61</v>
      </c>
      <c r="L69" s="123" t="s">
        <v>62</v>
      </c>
      <c r="M69" s="125">
        <f>200000+400</f>
        <v>200400</v>
      </c>
      <c r="N69" s="125">
        <f>200000+400</f>
        <v>200400</v>
      </c>
      <c r="T69" s="3"/>
      <c r="U69" s="3"/>
    </row>
    <row r="70" spans="1:24">
      <c r="A70" s="92"/>
      <c r="B70" s="93"/>
      <c r="C70" s="94"/>
      <c r="D70" s="95"/>
      <c r="E70" s="93"/>
      <c r="F70" s="93"/>
      <c r="H70" s="94"/>
      <c r="I70" s="93"/>
      <c r="J70" s="93"/>
      <c r="K70" s="197" t="s">
        <v>182</v>
      </c>
      <c r="L70" s="196" t="s">
        <v>183</v>
      </c>
      <c r="M70" s="125">
        <v>3633</v>
      </c>
      <c r="N70" s="125">
        <v>3633</v>
      </c>
      <c r="S70" s="50"/>
      <c r="T70" s="3"/>
      <c r="U70" s="3"/>
      <c r="X70">
        <f>75.65+17.03</f>
        <v>92.68</v>
      </c>
    </row>
    <row r="71" spans="1:24">
      <c r="A71" s="92"/>
      <c r="B71" s="93"/>
      <c r="C71" s="94"/>
      <c r="D71" s="95"/>
      <c r="E71" s="93"/>
      <c r="F71" s="93"/>
      <c r="H71" s="94"/>
      <c r="I71" s="93"/>
      <c r="J71" s="93">
        <v>3.9</v>
      </c>
      <c r="K71" s="133"/>
      <c r="L71" s="120" t="s">
        <v>63</v>
      </c>
      <c r="M71" s="138">
        <f>+M73+M75+M76+M74</f>
        <v>157147.68</v>
      </c>
      <c r="N71" s="138">
        <f>+N73+N75+N76+N74+N72</f>
        <v>238030.56</v>
      </c>
      <c r="Q71" s="50"/>
      <c r="T71" s="3"/>
      <c r="U71" s="3"/>
      <c r="W71" s="50">
        <f>6553.38-W61</f>
        <v>4.229999999552092E-3</v>
      </c>
    </row>
    <row r="72" spans="1:24">
      <c r="A72" s="92"/>
      <c r="B72" s="93"/>
      <c r="C72" s="94"/>
      <c r="D72" s="95"/>
      <c r="E72" s="93"/>
      <c r="F72" s="93"/>
      <c r="H72" s="94"/>
      <c r="I72" s="93"/>
      <c r="J72" s="93"/>
      <c r="K72" s="197" t="s">
        <v>172</v>
      </c>
      <c r="L72" s="196" t="s">
        <v>173</v>
      </c>
      <c r="M72" s="203">
        <v>90011.1</v>
      </c>
      <c r="N72" s="203">
        <v>86630</v>
      </c>
      <c r="Q72" s="50"/>
      <c r="T72" s="3"/>
      <c r="U72" s="3"/>
    </row>
    <row r="73" spans="1:24">
      <c r="A73" s="92"/>
      <c r="B73" s="93"/>
      <c r="C73" s="94"/>
      <c r="D73" s="95"/>
      <c r="E73" s="93"/>
      <c r="F73" s="93"/>
      <c r="H73" s="94"/>
      <c r="I73" s="93"/>
      <c r="J73" s="93"/>
      <c r="K73" s="197" t="s">
        <v>151</v>
      </c>
      <c r="L73" s="196" t="s">
        <v>152</v>
      </c>
      <c r="M73" s="203">
        <f>88166+1845.01</f>
        <v>90011.01</v>
      </c>
      <c r="N73" s="203">
        <f>84851+1752.34</f>
        <v>86603.34</v>
      </c>
      <c r="T73" s="3"/>
      <c r="U73" s="3"/>
    </row>
    <row r="74" spans="1:24">
      <c r="A74" s="92"/>
      <c r="B74" s="93"/>
      <c r="C74" s="94"/>
      <c r="D74" s="95"/>
      <c r="E74" s="93"/>
      <c r="F74" s="93"/>
      <c r="H74" s="94"/>
      <c r="I74" s="93"/>
      <c r="J74" s="93"/>
      <c r="K74" s="197" t="s">
        <v>174</v>
      </c>
      <c r="L74" s="196" t="s">
        <v>175</v>
      </c>
      <c r="M74" s="203">
        <v>35400</v>
      </c>
      <c r="N74" s="203">
        <v>33900</v>
      </c>
      <c r="S74" s="3">
        <f>132959.02*18%</f>
        <v>23932.623599999999</v>
      </c>
      <c r="T74" s="3"/>
      <c r="U74" s="3">
        <f>+R61-S74</f>
        <v>109026.3964</v>
      </c>
      <c r="W74" s="3">
        <f>+U74*5%</f>
        <v>5451.3198200000006</v>
      </c>
    </row>
    <row r="75" spans="1:24">
      <c r="A75" s="92"/>
      <c r="B75" s="93"/>
      <c r="C75" s="94"/>
      <c r="D75" s="95"/>
      <c r="E75" s="93"/>
      <c r="F75" s="93"/>
      <c r="H75" s="94"/>
      <c r="I75" s="93"/>
      <c r="J75" s="93"/>
      <c r="K75" s="153" t="s">
        <v>128</v>
      </c>
      <c r="L75" s="155" t="s">
        <v>129</v>
      </c>
      <c r="M75" s="125">
        <f>9929.7+10554.97</f>
        <v>20484.669999999998</v>
      </c>
      <c r="N75" s="125">
        <f>9523+10122.22</f>
        <v>19645.22</v>
      </c>
      <c r="P75" s="169"/>
      <c r="T75" s="3"/>
      <c r="U75" s="3"/>
    </row>
    <row r="76" spans="1:24">
      <c r="A76" s="92"/>
      <c r="B76" s="93"/>
      <c r="C76" s="94"/>
      <c r="D76" s="95"/>
      <c r="E76" s="93"/>
      <c r="F76" s="93"/>
      <c r="H76" s="94"/>
      <c r="I76" s="93"/>
      <c r="J76" s="93"/>
      <c r="K76" s="93" t="s">
        <v>64</v>
      </c>
      <c r="L76" s="123" t="s">
        <v>65</v>
      </c>
      <c r="M76" s="125">
        <v>11252</v>
      </c>
      <c r="N76" s="125">
        <v>11252</v>
      </c>
      <c r="P76" s="169"/>
      <c r="R76" s="3"/>
    </row>
    <row r="77" spans="1:24">
      <c r="A77" s="92"/>
      <c r="B77" s="93"/>
      <c r="C77" s="94"/>
      <c r="D77" s="95"/>
      <c r="E77" s="93"/>
      <c r="F77" s="93"/>
      <c r="H77" s="94"/>
      <c r="I77" s="93"/>
      <c r="J77" s="93"/>
      <c r="K77" s="133" t="s">
        <v>176</v>
      </c>
      <c r="L77" s="120" t="s">
        <v>177</v>
      </c>
      <c r="M77" s="122">
        <f>+M78</f>
        <v>72977.320000000007</v>
      </c>
      <c r="N77" s="122">
        <f>+N78</f>
        <v>69885.06</v>
      </c>
      <c r="P77" s="169"/>
      <c r="R77" s="3"/>
    </row>
    <row r="78" spans="1:24">
      <c r="A78" s="92"/>
      <c r="B78" s="93"/>
      <c r="C78" s="94"/>
      <c r="D78" s="95"/>
      <c r="E78" s="93"/>
      <c r="F78" s="93"/>
      <c r="H78" s="94"/>
      <c r="I78" s="93"/>
      <c r="J78" s="93"/>
      <c r="K78" s="197" t="s">
        <v>178</v>
      </c>
      <c r="L78" s="196" t="s">
        <v>179</v>
      </c>
      <c r="M78" s="125">
        <v>72977.320000000007</v>
      </c>
      <c r="N78" s="125">
        <v>69885.06</v>
      </c>
      <c r="P78" s="169"/>
      <c r="R78" s="3"/>
    </row>
    <row r="79" spans="1:24">
      <c r="A79" s="92"/>
      <c r="B79" s="93"/>
      <c r="C79" s="94"/>
      <c r="D79" s="95"/>
      <c r="E79" s="93"/>
      <c r="F79" s="93"/>
      <c r="H79" s="94"/>
      <c r="I79" s="93"/>
      <c r="J79" s="93"/>
      <c r="K79" s="133" t="s">
        <v>184</v>
      </c>
      <c r="L79" s="120" t="s">
        <v>185</v>
      </c>
      <c r="M79" s="122">
        <f>+M80</f>
        <v>20000</v>
      </c>
      <c r="N79" s="122">
        <f>+N80</f>
        <v>20000</v>
      </c>
      <c r="P79" s="169"/>
      <c r="R79" s="3" t="e">
        <f>+N81-#REF!</f>
        <v>#REF!</v>
      </c>
    </row>
    <row r="80" spans="1:24">
      <c r="A80" s="92"/>
      <c r="B80" s="93"/>
      <c r="C80" s="94"/>
      <c r="D80" s="95"/>
      <c r="E80" s="93"/>
      <c r="F80" s="93"/>
      <c r="H80" s="94"/>
      <c r="I80" s="93"/>
      <c r="J80" s="93"/>
      <c r="K80" s="197" t="s">
        <v>186</v>
      </c>
      <c r="L80" s="196" t="s">
        <v>187</v>
      </c>
      <c r="M80" s="125">
        <v>20000</v>
      </c>
      <c r="N80" s="125">
        <v>20000</v>
      </c>
      <c r="P80" s="169"/>
      <c r="R80" s="3"/>
    </row>
    <row r="81" spans="1:20">
      <c r="A81" s="92"/>
      <c r="B81" s="93"/>
      <c r="C81" s="94"/>
      <c r="D81" s="95"/>
      <c r="E81" s="93"/>
      <c r="F81" s="93"/>
      <c r="H81" s="94"/>
      <c r="I81" s="93"/>
      <c r="J81" s="93"/>
      <c r="K81" s="93"/>
      <c r="L81" s="123"/>
      <c r="M81" s="125">
        <f>+M62+M36+M21</f>
        <v>5715676.75</v>
      </c>
      <c r="N81" s="125">
        <f>+N21+N36+N62</f>
        <v>5969642.7199999997</v>
      </c>
      <c r="P81" s="169"/>
      <c r="R81" s="3"/>
    </row>
    <row r="82" spans="1:20">
      <c r="A82" s="92"/>
      <c r="B82" s="93"/>
      <c r="C82" s="94"/>
      <c r="D82" s="95"/>
      <c r="E82" s="93"/>
      <c r="F82" s="93"/>
      <c r="H82" s="94"/>
      <c r="I82" s="93"/>
      <c r="J82" s="93"/>
      <c r="K82" s="93"/>
      <c r="L82" s="196" t="s">
        <v>130</v>
      </c>
      <c r="M82" s="125"/>
      <c r="N82" s="125">
        <v>884628</v>
      </c>
      <c r="P82" s="169"/>
      <c r="R82" s="3"/>
      <c r="T82" t="e">
        <f>SUM(#REF!)</f>
        <v>#REF!</v>
      </c>
    </row>
    <row r="83" spans="1:20">
      <c r="A83" s="136"/>
      <c r="D83" s="137"/>
      <c r="L83" s="196" t="s">
        <v>153</v>
      </c>
      <c r="M83" s="191">
        <f>+'C X P '!E36</f>
        <v>787574</v>
      </c>
      <c r="N83" s="143">
        <v>0</v>
      </c>
      <c r="P83" s="169"/>
      <c r="Q83" s="50" t="e">
        <f>+#REF!-N81</f>
        <v>#REF!</v>
      </c>
    </row>
    <row r="84" spans="1:20">
      <c r="A84" s="136"/>
      <c r="D84" s="137"/>
      <c r="L84" s="155" t="s">
        <v>130</v>
      </c>
      <c r="M84" s="143"/>
      <c r="N84" s="143"/>
      <c r="P84" s="169"/>
    </row>
    <row r="85" spans="1:20">
      <c r="A85" s="136"/>
      <c r="D85" s="137"/>
      <c r="L85" s="123"/>
      <c r="M85" s="191">
        <f>+M21+M36+M62+M83</f>
        <v>6503250.75</v>
      </c>
      <c r="N85" s="191">
        <f>+N21+N36+N62+N84+N82</f>
        <v>6854270.7199999997</v>
      </c>
      <c r="P85" s="169"/>
      <c r="R85" s="3"/>
    </row>
    <row r="86" spans="1:20">
      <c r="A86" s="178"/>
      <c r="B86" s="179"/>
      <c r="C86" s="177"/>
      <c r="D86" s="180"/>
      <c r="E86" s="177"/>
      <c r="G86" s="177"/>
      <c r="I86" s="177"/>
      <c r="J86" s="177"/>
      <c r="K86" s="177"/>
      <c r="L86" s="195"/>
      <c r="M86" s="181"/>
      <c r="N86" s="181"/>
      <c r="P86" s="169"/>
      <c r="Q86" s="50"/>
    </row>
    <row r="87" spans="1:20">
      <c r="J87" s="145"/>
      <c r="L87" s="142"/>
      <c r="M87" s="144"/>
      <c r="N87" s="146"/>
      <c r="O87" s="97"/>
    </row>
    <row r="88" spans="1:20">
      <c r="J88" s="145"/>
      <c r="L88" s="142"/>
      <c r="M88" s="143"/>
      <c r="N88" s="146"/>
      <c r="O88" s="97"/>
    </row>
    <row r="89" spans="1:20">
      <c r="J89" s="145"/>
      <c r="L89" s="128"/>
      <c r="M89" s="144"/>
      <c r="N89" s="146"/>
      <c r="O89" s="97"/>
    </row>
    <row r="90" spans="1:20">
      <c r="J90" s="145"/>
      <c r="L90" s="142"/>
      <c r="M90" s="144"/>
      <c r="N90" s="146"/>
      <c r="O90" s="97"/>
      <c r="R90" s="50"/>
    </row>
    <row r="91" spans="1:20">
      <c r="J91" s="145"/>
      <c r="L91" s="142"/>
      <c r="M91" s="143"/>
      <c r="N91" s="147"/>
      <c r="O91" s="97"/>
    </row>
    <row r="92" spans="1:20">
      <c r="J92" s="145"/>
      <c r="L92" s="142"/>
      <c r="M92" s="143"/>
      <c r="N92" s="147"/>
      <c r="O92" s="97"/>
    </row>
    <row r="93" spans="1:20">
      <c r="J93" s="145"/>
      <c r="L93" s="128"/>
      <c r="M93" s="144"/>
      <c r="N93" s="147"/>
      <c r="O93" s="97"/>
    </row>
    <row r="94" spans="1:20">
      <c r="J94" s="145"/>
      <c r="L94" s="142"/>
      <c r="M94" s="143"/>
      <c r="N94" s="147"/>
      <c r="O94" s="97"/>
    </row>
    <row r="95" spans="1:20">
      <c r="J95" s="145"/>
      <c r="L95" s="142"/>
      <c r="M95" s="144"/>
      <c r="N95" s="146"/>
      <c r="O95" s="97"/>
    </row>
    <row r="96" spans="1:20">
      <c r="J96" s="145"/>
      <c r="L96" s="128"/>
      <c r="M96" s="144"/>
      <c r="N96" s="147"/>
      <c r="O96" s="97"/>
    </row>
    <row r="97" spans="10:16">
      <c r="J97" s="145"/>
      <c r="K97" s="148"/>
      <c r="L97" s="142"/>
      <c r="M97" s="143"/>
      <c r="N97" s="144"/>
      <c r="O97" s="97"/>
    </row>
    <row r="98" spans="10:16">
      <c r="J98" s="145"/>
      <c r="L98" s="142"/>
      <c r="M98" s="143"/>
      <c r="N98" s="147"/>
      <c r="O98" s="97"/>
    </row>
    <row r="99" spans="10:16">
      <c r="J99" s="145"/>
      <c r="L99" s="142"/>
      <c r="M99" s="146"/>
      <c r="N99" s="147"/>
      <c r="O99" s="97"/>
    </row>
    <row r="100" spans="10:16">
      <c r="J100" s="145"/>
      <c r="L100" s="142"/>
      <c r="M100" s="143"/>
      <c r="N100" s="146"/>
      <c r="O100" s="97"/>
    </row>
    <row r="101" spans="10:16">
      <c r="J101" s="145"/>
      <c r="L101" s="142"/>
      <c r="M101" s="143"/>
      <c r="N101" s="147"/>
      <c r="O101" s="97"/>
    </row>
    <row r="102" spans="10:16">
      <c r="J102" s="145"/>
      <c r="L102" s="142"/>
      <c r="M102" s="143"/>
      <c r="N102" s="147"/>
      <c r="O102" s="97"/>
    </row>
    <row r="103" spans="10:16">
      <c r="J103" s="145"/>
      <c r="L103" s="142"/>
      <c r="M103" s="143"/>
      <c r="N103" s="147"/>
      <c r="O103" s="97"/>
    </row>
    <row r="104" spans="10:16">
      <c r="J104" s="145"/>
      <c r="L104" s="128"/>
      <c r="M104" s="143"/>
      <c r="N104" s="147"/>
      <c r="O104" s="97"/>
    </row>
    <row r="105" spans="10:16">
      <c r="J105" s="145"/>
      <c r="L105" s="142"/>
      <c r="M105" s="143"/>
      <c r="N105" s="147"/>
      <c r="O105" s="97"/>
    </row>
    <row r="106" spans="10:16">
      <c r="J106" s="145"/>
      <c r="L106" s="128"/>
      <c r="M106" s="143"/>
      <c r="N106" s="147"/>
      <c r="O106" s="97"/>
    </row>
    <row r="107" spans="10:16">
      <c r="J107" s="145"/>
      <c r="L107" s="128"/>
      <c r="M107" s="144"/>
      <c r="N107" s="147"/>
      <c r="O107" s="97"/>
    </row>
    <row r="108" spans="10:16">
      <c r="J108" s="145"/>
      <c r="L108" s="128"/>
      <c r="M108" s="144"/>
      <c r="N108" s="146"/>
      <c r="O108" s="97"/>
    </row>
    <row r="109" spans="10:16">
      <c r="J109" s="145"/>
      <c r="L109" s="142"/>
      <c r="M109" s="144"/>
      <c r="N109" s="146"/>
      <c r="O109" s="143"/>
      <c r="P109" s="143"/>
    </row>
    <row r="110" spans="10:16">
      <c r="J110" s="145"/>
      <c r="L110" s="142"/>
      <c r="M110" s="144"/>
      <c r="N110" s="146"/>
      <c r="O110" s="143"/>
      <c r="P110" s="143"/>
    </row>
    <row r="111" spans="10:16">
      <c r="J111" s="149"/>
      <c r="L111" s="142"/>
      <c r="M111" s="150"/>
      <c r="N111" s="144"/>
      <c r="O111" s="143"/>
      <c r="P111" s="143"/>
    </row>
    <row r="112" spans="10:16">
      <c r="J112" s="149"/>
      <c r="L112" s="142"/>
      <c r="M112" s="144"/>
      <c r="N112" s="150"/>
      <c r="O112" s="143"/>
      <c r="P112" s="143"/>
    </row>
    <row r="113" spans="10:17">
      <c r="J113" s="145"/>
      <c r="L113" s="128"/>
      <c r="M113" s="144"/>
      <c r="N113" s="144"/>
      <c r="O113" s="143"/>
      <c r="P113" s="143"/>
    </row>
    <row r="114" spans="10:17">
      <c r="J114" s="145"/>
      <c r="L114" s="142"/>
      <c r="M114" s="143"/>
      <c r="N114" s="144"/>
      <c r="O114" s="143"/>
      <c r="P114" s="143"/>
    </row>
    <row r="115" spans="10:17">
      <c r="J115" s="145"/>
      <c r="L115" s="142"/>
      <c r="M115" s="143"/>
      <c r="N115" s="144"/>
      <c r="O115" s="97"/>
    </row>
    <row r="116" spans="10:17">
      <c r="J116" s="145"/>
      <c r="L116" s="128"/>
      <c r="M116" s="144"/>
      <c r="N116" s="143"/>
      <c r="O116" s="97"/>
    </row>
    <row r="117" spans="10:17">
      <c r="L117" s="142"/>
      <c r="M117" s="144"/>
      <c r="N117" s="144"/>
      <c r="O117" s="97"/>
    </row>
    <row r="118" spans="10:17">
      <c r="L118" s="142"/>
      <c r="M118" s="143"/>
      <c r="N118" s="144"/>
      <c r="O118" s="97"/>
    </row>
    <row r="119" spans="10:17">
      <c r="L119" s="128"/>
      <c r="M119" s="143"/>
      <c r="N119" s="143"/>
      <c r="O119" s="97"/>
    </row>
    <row r="120" spans="10:17">
      <c r="L120" s="142"/>
      <c r="M120" s="144"/>
      <c r="N120" s="97"/>
      <c r="O120" s="97"/>
    </row>
    <row r="121" spans="10:17">
      <c r="L121" s="128"/>
      <c r="M121" s="151"/>
      <c r="N121" s="144"/>
      <c r="O121" s="97"/>
    </row>
    <row r="122" spans="10:17">
      <c r="L122" s="128"/>
      <c r="M122" s="97"/>
      <c r="N122" s="151"/>
      <c r="O122" s="97"/>
    </row>
    <row r="123" spans="10:17">
      <c r="L123" s="142"/>
      <c r="M123" s="97"/>
      <c r="N123" s="151"/>
      <c r="O123" s="97"/>
    </row>
    <row r="124" spans="10:17">
      <c r="L124" s="142"/>
      <c r="M124" s="151"/>
      <c r="N124" s="97"/>
      <c r="O124" s="97"/>
    </row>
    <row r="125" spans="10:17">
      <c r="L125" s="142"/>
      <c r="M125" s="151"/>
      <c r="N125" s="151"/>
      <c r="O125" s="97"/>
    </row>
    <row r="126" spans="10:17">
      <c r="L126" s="142"/>
      <c r="M126" s="151"/>
      <c r="N126" s="151"/>
      <c r="O126" s="97"/>
    </row>
    <row r="127" spans="10:17">
      <c r="L127" s="142"/>
      <c r="M127" s="97"/>
      <c r="N127" s="151"/>
      <c r="O127" s="97"/>
    </row>
    <row r="128" spans="10:17">
      <c r="L128" s="142"/>
      <c r="M128" s="97"/>
      <c r="N128" s="151"/>
      <c r="O128" s="142"/>
      <c r="P128" s="97"/>
      <c r="Q128" s="97"/>
    </row>
    <row r="129" spans="1:15">
      <c r="L129" s="142"/>
      <c r="M129" s="151"/>
      <c r="N129" s="97"/>
      <c r="O129" s="97"/>
    </row>
    <row r="130" spans="1:15">
      <c r="J130" s="145"/>
      <c r="L130" s="142"/>
      <c r="M130" s="151"/>
      <c r="N130" s="151"/>
      <c r="O130" s="97"/>
    </row>
    <row r="131" spans="1:15">
      <c r="J131" s="145"/>
      <c r="L131" s="142"/>
      <c r="M131" s="151"/>
      <c r="N131" s="151"/>
      <c r="O131" s="97"/>
    </row>
    <row r="132" spans="1:15">
      <c r="L132" s="142"/>
      <c r="M132" s="97"/>
      <c r="N132" s="151"/>
      <c r="O132" s="97"/>
    </row>
    <row r="133" spans="1:15">
      <c r="L133" s="142"/>
      <c r="M133" s="151"/>
      <c r="N133" s="97"/>
      <c r="O133" s="97"/>
    </row>
    <row r="134" spans="1:15">
      <c r="L134" s="142"/>
      <c r="M134" s="97"/>
      <c r="N134" s="151"/>
      <c r="O134" s="97"/>
    </row>
    <row r="135" spans="1:15">
      <c r="L135" s="142"/>
      <c r="M135" s="97"/>
      <c r="N135" s="97"/>
      <c r="O135" s="97"/>
    </row>
    <row r="136" spans="1:15">
      <c r="J136" s="145"/>
      <c r="L136" s="142"/>
      <c r="M136" s="97"/>
      <c r="N136" s="97"/>
      <c r="O136" s="97"/>
    </row>
    <row r="137" spans="1:15">
      <c r="K137" s="145"/>
      <c r="M137" s="151"/>
      <c r="N137" s="97"/>
      <c r="O137" s="97"/>
    </row>
    <row r="138" spans="1:15">
      <c r="J138" s="145"/>
      <c r="K138" s="145"/>
      <c r="M138" s="97"/>
      <c r="N138" s="151"/>
      <c r="O138" s="97"/>
    </row>
    <row r="139" spans="1:15">
      <c r="K139" s="145"/>
      <c r="M139" s="151"/>
      <c r="N139" s="97"/>
      <c r="O139" s="97"/>
    </row>
    <row r="140" spans="1:15">
      <c r="A140" t="s">
        <v>67</v>
      </c>
      <c r="M140" s="151"/>
      <c r="N140" s="151"/>
    </row>
    <row r="141" spans="1:15">
      <c r="M141" s="97"/>
      <c r="N141" s="151"/>
    </row>
    <row r="142" spans="1:15">
      <c r="M142" s="97"/>
      <c r="N142" s="97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64" workbookViewId="0">
      <selection activeCell="N94" sqref="N94"/>
    </sheetView>
  </sheetViews>
  <sheetFormatPr baseColWidth="10" defaultColWidth="11.42578125"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C134"/>
  <sheetViews>
    <sheetView zoomScaleSheetLayoutView="100" workbookViewId="0">
      <selection activeCell="G2" sqref="G2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</cols>
  <sheetData>
    <row r="10" spans="1:16" ht="13.5" thickBot="1"/>
    <row r="11" spans="1:16">
      <c r="A11" s="214" t="s">
        <v>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4"/>
      <c r="P11" s="5"/>
    </row>
    <row r="12" spans="1:16" ht="15">
      <c r="A12" s="217" t="s">
        <v>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9"/>
      <c r="O12" s="96"/>
      <c r="P12" s="5"/>
    </row>
    <row r="13" spans="1:16" ht="1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220" t="s">
        <v>2</v>
      </c>
      <c r="N13" s="221"/>
      <c r="O13" s="96"/>
      <c r="P13" s="5"/>
    </row>
    <row r="14" spans="1:16" ht="15">
      <c r="A14" s="78" t="s">
        <v>3</v>
      </c>
      <c r="B14" s="79"/>
      <c r="C14" s="79"/>
      <c r="D14" s="79" t="s">
        <v>4</v>
      </c>
      <c r="E14" s="79"/>
      <c r="F14" s="79"/>
      <c r="G14" s="79"/>
      <c r="H14" s="79"/>
      <c r="I14" s="79"/>
      <c r="J14" s="79"/>
      <c r="K14" s="79"/>
      <c r="M14" s="222" t="s">
        <v>5</v>
      </c>
      <c r="N14" s="223"/>
      <c r="O14" s="99"/>
      <c r="P14" s="5"/>
    </row>
    <row r="15" spans="1:16" ht="1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M15" s="100" t="s">
        <v>7</v>
      </c>
      <c r="N15" s="13"/>
      <c r="O15" s="98"/>
      <c r="P15" s="5"/>
    </row>
    <row r="16" spans="1:16" ht="15">
      <c r="A16" s="78" t="s">
        <v>205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M16" s="100" t="s">
        <v>8</v>
      </c>
      <c r="N16" s="13"/>
      <c r="O16" s="98"/>
      <c r="P16" s="5"/>
    </row>
    <row r="17" spans="1:21" ht="15.75" thickBot="1">
      <c r="A17" s="78" t="s">
        <v>141</v>
      </c>
      <c r="B17" s="79"/>
      <c r="C17" s="79"/>
      <c r="D17" s="79"/>
      <c r="M17" s="100" t="s">
        <v>9</v>
      </c>
      <c r="N17" s="13"/>
      <c r="O17" s="101"/>
      <c r="P17" s="5"/>
    </row>
    <row r="18" spans="1:21" ht="13.5" thickBo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102"/>
      <c r="M18" s="103"/>
      <c r="N18" s="104"/>
      <c r="P18" s="5"/>
    </row>
    <row r="19" spans="1:21">
      <c r="A19" s="224" t="s">
        <v>10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6"/>
      <c r="L19" s="227" t="s">
        <v>11</v>
      </c>
      <c r="M19" s="227"/>
      <c r="N19" s="228"/>
      <c r="P19" s="5"/>
    </row>
    <row r="20" spans="1:21">
      <c r="A20" s="209" t="s">
        <v>12</v>
      </c>
      <c r="B20" s="210"/>
      <c r="C20" s="209"/>
      <c r="D20" s="209"/>
      <c r="E20" s="209"/>
      <c r="F20" s="209"/>
      <c r="G20" s="209"/>
      <c r="H20" s="209"/>
      <c r="I20" s="211" t="s">
        <v>13</v>
      </c>
      <c r="J20" s="212"/>
      <c r="K20" s="213"/>
      <c r="L20" s="105" t="s">
        <v>14</v>
      </c>
      <c r="M20" s="106" t="s">
        <v>15</v>
      </c>
      <c r="N20" s="107" t="s">
        <v>16</v>
      </c>
      <c r="P20" s="5"/>
    </row>
    <row r="21" spans="1:21" ht="24.75" customHeight="1" thickBot="1">
      <c r="A21" s="82" t="s">
        <v>17</v>
      </c>
      <c r="B21" s="83" t="s">
        <v>18</v>
      </c>
      <c r="C21" s="82" t="s">
        <v>19</v>
      </c>
      <c r="D21" s="82" t="s">
        <v>20</v>
      </c>
      <c r="E21" s="82" t="s">
        <v>21</v>
      </c>
      <c r="F21" s="82" t="s">
        <v>22</v>
      </c>
      <c r="G21" s="82" t="s">
        <v>23</v>
      </c>
      <c r="H21" s="84"/>
      <c r="I21" s="82" t="s">
        <v>24</v>
      </c>
      <c r="J21" s="108" t="s">
        <v>25</v>
      </c>
      <c r="K21" s="108" t="s">
        <v>26</v>
      </c>
      <c r="L21" s="109" t="s">
        <v>27</v>
      </c>
      <c r="M21" s="110" t="s">
        <v>28</v>
      </c>
      <c r="N21" s="111" t="s">
        <v>29</v>
      </c>
    </row>
    <row r="22" spans="1:21" ht="13.5" thickBot="1">
      <c r="A22" s="85"/>
      <c r="B22" s="86"/>
      <c r="C22" s="85"/>
      <c r="D22" s="85"/>
      <c r="E22" s="85"/>
      <c r="F22" s="85"/>
      <c r="G22" s="85"/>
      <c r="H22" s="87"/>
      <c r="I22" s="85"/>
      <c r="J22" s="112"/>
      <c r="K22" s="112"/>
      <c r="L22" s="113"/>
      <c r="M22" s="114"/>
      <c r="N22" s="115"/>
    </row>
    <row r="23" spans="1:21" ht="12.75" customHeight="1">
      <c r="A23" s="88" t="s">
        <v>30</v>
      </c>
      <c r="B23" s="89"/>
      <c r="C23" s="90"/>
      <c r="D23" s="91" t="s">
        <v>30</v>
      </c>
      <c r="E23" s="89"/>
      <c r="F23" s="89"/>
      <c r="H23" s="90"/>
      <c r="I23" s="89">
        <v>2</v>
      </c>
      <c r="J23" s="89"/>
      <c r="K23" s="89"/>
      <c r="L23" s="152" t="s">
        <v>116</v>
      </c>
      <c r="M23" s="116">
        <f>+M24+M27+M31+M34</f>
        <v>3589945</v>
      </c>
      <c r="N23" s="117">
        <f>+N24+N27+N31+N34</f>
        <v>3537997</v>
      </c>
      <c r="O23" s="118" t="e">
        <f>+#REF!+#REF!+#REF!+#REF!+#REF!</f>
        <v>#REF!</v>
      </c>
    </row>
    <row r="24" spans="1:21">
      <c r="A24" s="92"/>
      <c r="B24" s="93"/>
      <c r="C24" s="94"/>
      <c r="D24" s="95"/>
      <c r="E24" s="93"/>
      <c r="F24" s="93"/>
      <c r="G24" s="93"/>
      <c r="H24" s="94"/>
      <c r="I24" s="93"/>
      <c r="J24" s="119" t="s">
        <v>31</v>
      </c>
      <c r="K24" s="93"/>
      <c r="L24" s="120" t="s">
        <v>122</v>
      </c>
      <c r="M24" s="121">
        <f>+M25+M26</f>
        <v>2690050</v>
      </c>
      <c r="N24" s="122">
        <f>SUM(N25+N26)</f>
        <v>2690050</v>
      </c>
      <c r="Q24" s="50"/>
    </row>
    <row r="25" spans="1:21">
      <c r="A25" s="92"/>
      <c r="B25" s="93"/>
      <c r="C25" s="94"/>
      <c r="D25" s="95"/>
      <c r="E25" s="93"/>
      <c r="F25" s="93"/>
      <c r="G25" s="93">
        <v>9995</v>
      </c>
      <c r="H25" s="94"/>
      <c r="I25" s="93"/>
      <c r="J25" s="119"/>
      <c r="K25" s="119">
        <v>1.1000000000000001</v>
      </c>
      <c r="L25" s="123" t="s">
        <v>32</v>
      </c>
      <c r="M25" s="124">
        <f>1907050+53000</f>
        <v>1960050</v>
      </c>
      <c r="N25" s="124">
        <f>+M25</f>
        <v>1960050</v>
      </c>
    </row>
    <row r="26" spans="1:21">
      <c r="A26" s="92"/>
      <c r="B26" s="93"/>
      <c r="C26" s="94"/>
      <c r="D26" s="95"/>
      <c r="E26" s="153"/>
      <c r="F26" s="93"/>
      <c r="H26" s="94"/>
      <c r="I26" s="93"/>
      <c r="J26" s="119">
        <v>1.1000000000000001</v>
      </c>
      <c r="K26" s="119">
        <v>2.1</v>
      </c>
      <c r="L26" t="s">
        <v>33</v>
      </c>
      <c r="M26" s="125">
        <v>730000</v>
      </c>
      <c r="N26" s="124">
        <f>+M26</f>
        <v>730000</v>
      </c>
      <c r="P26" s="126"/>
      <c r="T26" s="3"/>
    </row>
    <row r="27" spans="1:21">
      <c r="A27" s="92"/>
      <c r="B27" s="93"/>
      <c r="C27" s="94"/>
      <c r="D27" s="95"/>
      <c r="E27" s="93"/>
      <c r="F27" s="93"/>
      <c r="H27" s="94"/>
      <c r="I27" s="93"/>
      <c r="J27" s="119">
        <v>1.2</v>
      </c>
      <c r="K27" s="119"/>
      <c r="L27" s="120" t="s">
        <v>34</v>
      </c>
      <c r="M27" s="127">
        <f>SUM(M29+M30+M28)</f>
        <v>392878</v>
      </c>
      <c r="N27" s="127">
        <f>SUM(N29+N30+N28)</f>
        <v>340930</v>
      </c>
      <c r="R27">
        <f>5000-4130</f>
        <v>870</v>
      </c>
    </row>
    <row r="28" spans="1:21">
      <c r="A28" s="92"/>
      <c r="B28" s="93"/>
      <c r="C28" s="94"/>
      <c r="D28" s="95"/>
      <c r="E28" s="93"/>
      <c r="F28" s="93"/>
      <c r="H28" s="94"/>
      <c r="I28" s="93"/>
      <c r="J28" s="119"/>
      <c r="K28" s="207" t="s">
        <v>212</v>
      </c>
      <c r="L28" s="196" t="s">
        <v>213</v>
      </c>
      <c r="M28" s="208">
        <v>5778</v>
      </c>
      <c r="N28" s="208">
        <f>+M28</f>
        <v>5778</v>
      </c>
    </row>
    <row r="29" spans="1:21">
      <c r="A29" s="92"/>
      <c r="B29" s="93"/>
      <c r="C29" s="94"/>
      <c r="D29" s="95"/>
      <c r="E29" s="93"/>
      <c r="F29" s="93"/>
      <c r="H29" s="94"/>
      <c r="I29" s="93"/>
      <c r="J29" s="119"/>
      <c r="K29" s="119" t="s">
        <v>35</v>
      </c>
      <c r="L29" s="123" t="s">
        <v>123</v>
      </c>
      <c r="M29" s="124">
        <v>223500</v>
      </c>
      <c r="N29" s="124">
        <v>171552</v>
      </c>
      <c r="R29" s="3"/>
      <c r="S29" s="3">
        <v>1851850</v>
      </c>
    </row>
    <row r="30" spans="1:21">
      <c r="A30" s="92"/>
      <c r="B30" s="93"/>
      <c r="C30" s="94"/>
      <c r="D30" s="95"/>
      <c r="E30" s="93"/>
      <c r="F30" s="93"/>
      <c r="H30" s="94"/>
      <c r="I30" s="93"/>
      <c r="J30" s="119"/>
      <c r="K30" s="119" t="s">
        <v>36</v>
      </c>
      <c r="L30" s="123" t="s">
        <v>37</v>
      </c>
      <c r="M30" s="124">
        <v>163600</v>
      </c>
      <c r="N30" s="124">
        <f>+M30</f>
        <v>163600</v>
      </c>
      <c r="R30" s="3"/>
      <c r="S30" s="3">
        <v>53000</v>
      </c>
      <c r="U30">
        <v>17127.55</v>
      </c>
    </row>
    <row r="31" spans="1:21">
      <c r="A31" s="92"/>
      <c r="B31" s="93"/>
      <c r="C31" s="94"/>
      <c r="D31" s="95"/>
      <c r="E31" s="93"/>
      <c r="F31" s="93"/>
      <c r="H31" s="94"/>
      <c r="I31" s="93"/>
      <c r="J31" s="129">
        <v>1.3</v>
      </c>
      <c r="K31" s="119"/>
      <c r="L31" s="120" t="s">
        <v>119</v>
      </c>
      <c r="M31" s="127">
        <f>SUM(M32+M33)</f>
        <v>100000</v>
      </c>
      <c r="N31" s="127">
        <f>SUM(N32+N33)</f>
        <v>100000</v>
      </c>
      <c r="Q31" s="134"/>
      <c r="R31" s="3"/>
      <c r="S31" s="50">
        <f>SUM(S29:S30)</f>
        <v>1904850</v>
      </c>
      <c r="U31">
        <v>7042.2</v>
      </c>
    </row>
    <row r="32" spans="1:21">
      <c r="A32" s="92"/>
      <c r="B32" s="93"/>
      <c r="C32" s="94"/>
      <c r="D32" s="95"/>
      <c r="E32" s="93"/>
      <c r="F32" s="93"/>
      <c r="H32" s="94"/>
      <c r="I32" s="93"/>
      <c r="J32" s="119"/>
      <c r="K32" s="119" t="s">
        <v>38</v>
      </c>
      <c r="L32" s="123" t="s">
        <v>39</v>
      </c>
      <c r="M32" s="124">
        <v>50000</v>
      </c>
      <c r="N32" s="124">
        <v>50000</v>
      </c>
      <c r="Q32" s="134"/>
      <c r="R32" s="3"/>
      <c r="U32">
        <v>583</v>
      </c>
    </row>
    <row r="33" spans="1:27">
      <c r="A33" s="92"/>
      <c r="B33" s="93"/>
      <c r="C33" s="94"/>
      <c r="D33" s="95"/>
      <c r="E33" s="93"/>
      <c r="F33" s="93"/>
      <c r="H33" s="94"/>
      <c r="I33" s="93"/>
      <c r="J33" s="119"/>
      <c r="K33" s="190" t="s">
        <v>40</v>
      </c>
      <c r="L33" s="155" t="s">
        <v>120</v>
      </c>
      <c r="M33" s="97">
        <v>50000</v>
      </c>
      <c r="N33" s="97">
        <v>50000</v>
      </c>
      <c r="Q33" s="134"/>
      <c r="S33" s="50">
        <f>+S31+730000</f>
        <v>2634850</v>
      </c>
      <c r="U33">
        <f>+U30+U31+U32</f>
        <v>24752.75</v>
      </c>
    </row>
    <row r="34" spans="1:27">
      <c r="A34" s="92"/>
      <c r="B34" s="93"/>
      <c r="C34" s="94"/>
      <c r="D34" s="95"/>
      <c r="E34" s="93"/>
      <c r="F34" s="93"/>
      <c r="H34" s="94"/>
      <c r="I34" s="93"/>
      <c r="J34" s="119">
        <v>1.5</v>
      </c>
      <c r="K34" s="119"/>
      <c r="L34" s="120" t="s">
        <v>41</v>
      </c>
      <c r="M34" s="130">
        <f>SUM(M35+M36+M37)</f>
        <v>407017</v>
      </c>
      <c r="N34" s="130">
        <f>SUM(N35+N36+N37)</f>
        <v>407017</v>
      </c>
      <c r="Q34" s="134"/>
      <c r="S34" s="3">
        <v>2704850</v>
      </c>
    </row>
    <row r="35" spans="1:27">
      <c r="A35" s="92"/>
      <c r="B35" s="93"/>
      <c r="C35" s="94"/>
      <c r="D35" s="95"/>
      <c r="E35" s="93"/>
      <c r="F35" s="93"/>
      <c r="H35" s="94"/>
      <c r="I35" s="93"/>
      <c r="J35" s="93"/>
      <c r="K35" s="93">
        <v>5.0999999999999996</v>
      </c>
      <c r="L35" s="123" t="s">
        <v>42</v>
      </c>
      <c r="M35" s="3">
        <v>189804</v>
      </c>
      <c r="N35" s="125">
        <f>+M35</f>
        <v>189804</v>
      </c>
      <c r="Q35" s="59"/>
      <c r="S35" s="50"/>
    </row>
    <row r="36" spans="1:27">
      <c r="A36" s="92"/>
      <c r="B36" s="93"/>
      <c r="C36" s="94"/>
      <c r="D36" s="95"/>
      <c r="E36" s="93"/>
      <c r="F36" s="93"/>
      <c r="H36" s="94"/>
      <c r="I36" s="93"/>
      <c r="J36" s="93"/>
      <c r="K36" s="93">
        <v>5.2</v>
      </c>
      <c r="L36" s="123" t="s">
        <v>43</v>
      </c>
      <c r="M36" s="3">
        <v>190994</v>
      </c>
      <c r="N36" s="172">
        <f>+M36</f>
        <v>190994</v>
      </c>
      <c r="S36" s="50">
        <f>+S34-S33</f>
        <v>70000</v>
      </c>
    </row>
    <row r="37" spans="1:27">
      <c r="A37" s="92"/>
      <c r="B37" s="93"/>
      <c r="C37" s="94"/>
      <c r="D37" s="95"/>
      <c r="E37" s="93"/>
      <c r="F37" s="93"/>
      <c r="H37" s="94"/>
      <c r="I37" s="93"/>
      <c r="J37" s="93"/>
      <c r="K37" s="93">
        <v>5.3</v>
      </c>
      <c r="L37" s="123" t="s">
        <v>44</v>
      </c>
      <c r="M37" s="3">
        <v>26219</v>
      </c>
      <c r="N37" s="124">
        <f>+M37</f>
        <v>26219</v>
      </c>
      <c r="Q37" s="3"/>
    </row>
    <row r="38" spans="1:27">
      <c r="A38" s="92"/>
      <c r="B38" s="93"/>
      <c r="C38" s="94"/>
      <c r="D38" s="95"/>
      <c r="E38" s="93"/>
      <c r="F38" s="93"/>
      <c r="H38" s="94"/>
      <c r="I38" s="93">
        <v>2</v>
      </c>
      <c r="J38" s="93"/>
      <c r="K38" s="93"/>
      <c r="L38" s="120" t="s">
        <v>45</v>
      </c>
      <c r="M38" s="131">
        <f>SUM(+M49+M51+M55+M58+M46+M44+M39+M53)</f>
        <v>2499907</v>
      </c>
      <c r="N38" s="131">
        <f>SUM(+N49+N51+N55+N46+N44+N58+N39+N53)</f>
        <v>2460592</v>
      </c>
      <c r="Y38" s="3"/>
      <c r="Z38" s="3"/>
      <c r="AA38" s="3"/>
    </row>
    <row r="39" spans="1:27">
      <c r="A39" s="92"/>
      <c r="B39" s="93"/>
      <c r="C39" s="94"/>
      <c r="D39" s="95"/>
      <c r="E39" s="93"/>
      <c r="F39" s="93"/>
      <c r="H39" s="94"/>
      <c r="I39" s="93"/>
      <c r="J39" s="93"/>
      <c r="K39" s="93"/>
      <c r="L39" s="120" t="s">
        <v>223</v>
      </c>
      <c r="M39" s="131">
        <f>+M40+M41+M42+M43</f>
        <v>179983</v>
      </c>
      <c r="N39" s="131">
        <f>+N40+N41+N42+N43</f>
        <v>179983</v>
      </c>
      <c r="Y39" s="3"/>
      <c r="Z39" s="3"/>
      <c r="AA39" s="3"/>
    </row>
    <row r="40" spans="1:27">
      <c r="A40" s="92"/>
      <c r="B40" s="93"/>
      <c r="C40" s="94"/>
      <c r="D40" s="95"/>
      <c r="E40" s="93"/>
      <c r="F40" s="93"/>
      <c r="H40" s="94"/>
      <c r="I40" s="93"/>
      <c r="J40" s="93"/>
      <c r="K40" s="93" t="s">
        <v>167</v>
      </c>
      <c r="L40" s="123" t="s">
        <v>168</v>
      </c>
      <c r="M40" s="199">
        <v>128249</v>
      </c>
      <c r="N40" s="199">
        <f>+M40</f>
        <v>128249</v>
      </c>
      <c r="Y40" s="3"/>
      <c r="Z40" s="3"/>
      <c r="AA40" s="3"/>
    </row>
    <row r="41" spans="1:27">
      <c r="A41" s="92"/>
      <c r="B41" s="93"/>
      <c r="C41" s="94"/>
      <c r="D41" s="95"/>
      <c r="E41" s="93"/>
      <c r="F41" s="93"/>
      <c r="H41" s="94"/>
      <c r="I41" s="93"/>
      <c r="J41" s="93"/>
      <c r="K41" s="93" t="s">
        <v>169</v>
      </c>
      <c r="L41" s="123" t="s">
        <v>170</v>
      </c>
      <c r="M41" s="199">
        <v>48386</v>
      </c>
      <c r="N41" s="199">
        <f>+M41</f>
        <v>48386</v>
      </c>
      <c r="Y41" s="3"/>
      <c r="Z41" s="3"/>
      <c r="AA41" s="3"/>
    </row>
    <row r="42" spans="1:27">
      <c r="A42" s="92"/>
      <c r="B42" s="93"/>
      <c r="C42" s="94"/>
      <c r="D42" s="95"/>
      <c r="E42" s="93"/>
      <c r="F42" s="93"/>
      <c r="H42" s="94"/>
      <c r="I42" s="93"/>
      <c r="J42" s="93"/>
      <c r="K42" s="197" t="s">
        <v>196</v>
      </c>
      <c r="L42" s="196" t="s">
        <v>133</v>
      </c>
      <c r="M42" s="199">
        <v>756</v>
      </c>
      <c r="N42" s="199">
        <v>756</v>
      </c>
      <c r="Y42" s="3"/>
      <c r="Z42" s="3"/>
      <c r="AA42" s="3"/>
    </row>
    <row r="43" spans="1:27">
      <c r="A43" s="92"/>
      <c r="B43" s="93"/>
      <c r="C43" s="94"/>
      <c r="D43" s="95"/>
      <c r="E43" s="93"/>
      <c r="F43" s="93"/>
      <c r="H43" s="94"/>
      <c r="I43" s="93"/>
      <c r="J43" s="93"/>
      <c r="K43" s="197" t="s">
        <v>188</v>
      </c>
      <c r="L43" s="196" t="s">
        <v>189</v>
      </c>
      <c r="M43" s="199">
        <v>2592</v>
      </c>
      <c r="N43" s="199">
        <f>+M43</f>
        <v>2592</v>
      </c>
      <c r="Y43" s="3"/>
      <c r="Z43" s="3"/>
      <c r="AA43" s="3"/>
    </row>
    <row r="44" spans="1:27">
      <c r="A44" s="92"/>
      <c r="B44" s="93"/>
      <c r="C44" s="94"/>
      <c r="D44" s="95"/>
      <c r="E44" s="93"/>
      <c r="F44" s="93"/>
      <c r="H44" s="94"/>
      <c r="I44" s="93"/>
      <c r="J44" s="93">
        <v>2.2000000000000002</v>
      </c>
      <c r="K44" s="93"/>
      <c r="L44" s="120" t="s">
        <v>142</v>
      </c>
      <c r="M44" s="131">
        <f>+M45</f>
        <v>732</v>
      </c>
      <c r="N44" s="131">
        <v>732</v>
      </c>
    </row>
    <row r="45" spans="1:27">
      <c r="A45" s="92"/>
      <c r="B45" s="93"/>
      <c r="C45" s="94"/>
      <c r="D45" s="95"/>
      <c r="E45" s="93"/>
      <c r="F45" s="93"/>
      <c r="H45" s="94"/>
      <c r="I45" s="93"/>
      <c r="J45" s="93"/>
      <c r="K45" s="123" t="s">
        <v>143</v>
      </c>
      <c r="L45" s="3" t="s">
        <v>144</v>
      </c>
      <c r="M45" s="172">
        <v>732</v>
      </c>
      <c r="N45" s="123">
        <v>732.13</v>
      </c>
    </row>
    <row r="46" spans="1:27">
      <c r="A46" s="92"/>
      <c r="B46" s="93"/>
      <c r="C46" s="94"/>
      <c r="D46" s="95"/>
      <c r="E46" s="93"/>
      <c r="F46" s="93"/>
      <c r="H46" s="94"/>
      <c r="I46" s="93"/>
      <c r="J46" s="133">
        <v>2.2999999999999998</v>
      </c>
      <c r="K46" s="120"/>
      <c r="L46" s="58" t="s">
        <v>145</v>
      </c>
      <c r="M46" s="206">
        <f>+M47+M48</f>
        <v>1289009</v>
      </c>
      <c r="N46" s="120">
        <f>+M46</f>
        <v>1289009</v>
      </c>
      <c r="Q46" s="59"/>
    </row>
    <row r="47" spans="1:27">
      <c r="A47" s="92"/>
      <c r="B47" s="93"/>
      <c r="C47" s="94"/>
      <c r="D47" s="95"/>
      <c r="E47" s="93"/>
      <c r="F47" s="93"/>
      <c r="H47" s="94"/>
      <c r="I47" s="93"/>
      <c r="J47" s="93"/>
      <c r="K47" s="196" t="s">
        <v>207</v>
      </c>
      <c r="L47" s="3" t="s">
        <v>147</v>
      </c>
      <c r="M47" s="172">
        <v>58740</v>
      </c>
      <c r="N47" s="123">
        <f>+M47</f>
        <v>58740</v>
      </c>
    </row>
    <row r="48" spans="1:27">
      <c r="A48" s="92"/>
      <c r="B48" s="93"/>
      <c r="C48" s="94"/>
      <c r="D48" s="95"/>
      <c r="E48" s="93"/>
      <c r="F48" s="93"/>
      <c r="H48" s="94"/>
      <c r="I48" s="93"/>
      <c r="J48" s="93"/>
      <c r="K48" s="196" t="s">
        <v>206</v>
      </c>
      <c r="L48" s="200" t="s">
        <v>208</v>
      </c>
      <c r="M48" s="172">
        <v>1230269</v>
      </c>
      <c r="N48" s="123">
        <f>+M48</f>
        <v>1230269</v>
      </c>
    </row>
    <row r="49" spans="1:29">
      <c r="A49" s="92"/>
      <c r="B49" s="93"/>
      <c r="C49" s="94"/>
      <c r="D49" s="95"/>
      <c r="E49" s="93"/>
      <c r="F49" s="93"/>
      <c r="H49" s="94"/>
      <c r="I49" s="93"/>
      <c r="J49" s="133">
        <v>2.4</v>
      </c>
      <c r="K49" s="120"/>
      <c r="L49" s="58" t="s">
        <v>47</v>
      </c>
      <c r="M49" s="206">
        <f>SUM(M50)</f>
        <v>11314</v>
      </c>
      <c r="N49" s="120">
        <f>SUM(N50)</f>
        <v>11314</v>
      </c>
      <c r="AC49" s="202"/>
    </row>
    <row r="50" spans="1:29">
      <c r="A50" s="92"/>
      <c r="B50" s="93"/>
      <c r="C50" s="94"/>
      <c r="D50" s="95"/>
      <c r="E50" s="93"/>
      <c r="F50" s="93"/>
      <c r="H50" s="94"/>
      <c r="I50" s="93"/>
      <c r="J50" s="93"/>
      <c r="K50" s="123">
        <v>4.0999999999999996</v>
      </c>
      <c r="L50" s="3" t="s">
        <v>121</v>
      </c>
      <c r="M50" s="124">
        <v>11314</v>
      </c>
      <c r="N50" s="123">
        <f>+M50</f>
        <v>11314</v>
      </c>
    </row>
    <row r="51" spans="1:29">
      <c r="A51" s="92"/>
      <c r="B51" s="93"/>
      <c r="C51" s="94"/>
      <c r="D51" s="95"/>
      <c r="E51" s="93"/>
      <c r="F51" s="93"/>
      <c r="H51" s="94"/>
      <c r="I51" s="93"/>
      <c r="J51" s="93">
        <v>2.5</v>
      </c>
      <c r="K51" s="93"/>
      <c r="L51" s="120" t="s">
        <v>48</v>
      </c>
      <c r="M51" s="131">
        <f>+M52</f>
        <v>543279</v>
      </c>
      <c r="N51" s="131">
        <f>+N52</f>
        <v>520258</v>
      </c>
      <c r="U51" s="3"/>
      <c r="V51" s="3"/>
    </row>
    <row r="52" spans="1:29">
      <c r="A52" s="92"/>
      <c r="B52" s="93"/>
      <c r="C52" s="94"/>
      <c r="D52" s="95"/>
      <c r="E52" s="93"/>
      <c r="F52" s="93"/>
      <c r="H52" s="94"/>
      <c r="I52" s="93"/>
      <c r="J52" s="93"/>
      <c r="K52" s="197" t="s">
        <v>209</v>
      </c>
      <c r="L52" s="123" t="s">
        <v>49</v>
      </c>
      <c r="M52" s="132">
        <v>543279</v>
      </c>
      <c r="N52" s="132">
        <v>520258</v>
      </c>
      <c r="Q52" s="198"/>
      <c r="V52" s="3"/>
      <c r="Z52" s="3"/>
    </row>
    <row r="53" spans="1:29">
      <c r="A53" s="92"/>
      <c r="B53" s="93"/>
      <c r="C53" s="94"/>
      <c r="D53" s="95"/>
      <c r="E53" s="93"/>
      <c r="F53" s="93"/>
      <c r="H53" s="94"/>
      <c r="I53" s="93"/>
      <c r="J53" s="93">
        <v>2.6</v>
      </c>
      <c r="K53" s="93"/>
      <c r="L53" s="120" t="s">
        <v>50</v>
      </c>
      <c r="M53" s="131">
        <f>+M54</f>
        <v>307315</v>
      </c>
      <c r="N53" s="131">
        <f>+N54</f>
        <v>291951</v>
      </c>
      <c r="Q53" s="198"/>
      <c r="V53" s="3"/>
    </row>
    <row r="54" spans="1:29">
      <c r="A54" s="92"/>
      <c r="B54" s="93"/>
      <c r="C54" s="94"/>
      <c r="D54" s="95"/>
      <c r="E54" s="93"/>
      <c r="F54" s="93"/>
      <c r="H54" s="94"/>
      <c r="I54" s="93"/>
      <c r="J54" s="93"/>
      <c r="K54" s="197" t="s">
        <v>210</v>
      </c>
      <c r="L54" s="196" t="s">
        <v>211</v>
      </c>
      <c r="M54" s="132">
        <v>307315</v>
      </c>
      <c r="N54" s="132">
        <v>291951</v>
      </c>
      <c r="Q54" s="198"/>
      <c r="V54" s="3"/>
    </row>
    <row r="55" spans="1:29">
      <c r="A55" s="92"/>
      <c r="B55" s="93"/>
      <c r="C55" s="94"/>
      <c r="D55" s="95"/>
      <c r="E55" s="93"/>
      <c r="F55" s="93"/>
      <c r="H55" s="94"/>
      <c r="I55" s="93"/>
      <c r="J55" s="93">
        <v>2.7</v>
      </c>
      <c r="K55" s="93"/>
      <c r="L55" s="120" t="s">
        <v>51</v>
      </c>
      <c r="M55" s="122">
        <f>+M56+M57</f>
        <v>11630</v>
      </c>
      <c r="N55" s="122">
        <f>+N56+N57</f>
        <v>11630</v>
      </c>
      <c r="V55" s="3"/>
    </row>
    <row r="56" spans="1:29">
      <c r="A56" s="92"/>
      <c r="B56" s="93"/>
      <c r="C56" s="94"/>
      <c r="D56" s="95"/>
      <c r="E56" s="93"/>
      <c r="F56" s="93"/>
      <c r="H56" s="94"/>
      <c r="I56" s="93"/>
      <c r="J56" s="93"/>
      <c r="K56" s="197" t="s">
        <v>224</v>
      </c>
      <c r="L56" s="196" t="s">
        <v>164</v>
      </c>
      <c r="M56" s="158">
        <v>8630</v>
      </c>
      <c r="N56" s="158">
        <v>8630</v>
      </c>
      <c r="T56" s="3"/>
    </row>
    <row r="57" spans="1:29">
      <c r="A57" s="92"/>
      <c r="B57" s="93"/>
      <c r="C57" s="94"/>
      <c r="D57" s="95"/>
      <c r="E57" s="93"/>
      <c r="F57" s="93"/>
      <c r="H57" s="94"/>
      <c r="I57" s="93"/>
      <c r="J57" s="93"/>
      <c r="K57" s="197" t="s">
        <v>180</v>
      </c>
      <c r="L57" s="196" t="s">
        <v>225</v>
      </c>
      <c r="M57" s="158">
        <v>3000</v>
      </c>
      <c r="N57" s="158">
        <v>3000</v>
      </c>
      <c r="T57" s="3"/>
      <c r="Z57" s="3"/>
    </row>
    <row r="58" spans="1:29">
      <c r="A58" s="92"/>
      <c r="B58" s="93"/>
      <c r="C58" s="94"/>
      <c r="D58" s="95"/>
      <c r="E58" s="93"/>
      <c r="F58" s="93"/>
      <c r="H58" s="94"/>
      <c r="I58" s="93"/>
      <c r="J58" s="93">
        <v>2.8</v>
      </c>
      <c r="K58" s="93"/>
      <c r="L58" s="120" t="s">
        <v>52</v>
      </c>
      <c r="M58" s="122">
        <f>+M59+M62+M60+M61</f>
        <v>156645</v>
      </c>
      <c r="N58" s="122">
        <f>+N59+N60+N61+N62</f>
        <v>155715</v>
      </c>
      <c r="R58" s="200">
        <v>120559.03999999999</v>
      </c>
      <c r="S58" s="3">
        <v>0</v>
      </c>
      <c r="U58" s="50">
        <f>+R58-S58</f>
        <v>120559.03999999999</v>
      </c>
      <c r="V58" s="205">
        <v>0.05</v>
      </c>
      <c r="W58" s="3">
        <f>+U58*V58</f>
        <v>6027.9520000000002</v>
      </c>
      <c r="X58" s="50">
        <f>+R58-W58</f>
        <v>114531.08799999999</v>
      </c>
    </row>
    <row r="59" spans="1:29">
      <c r="A59" s="92"/>
      <c r="B59" s="93"/>
      <c r="C59" s="94"/>
      <c r="D59" s="95"/>
      <c r="E59" s="93"/>
      <c r="F59" s="93"/>
      <c r="H59" s="94"/>
      <c r="I59" s="93"/>
      <c r="J59" s="93"/>
      <c r="K59" s="93" t="s">
        <v>53</v>
      </c>
      <c r="L59" s="123" t="s">
        <v>54</v>
      </c>
      <c r="M59" s="158">
        <v>4479</v>
      </c>
      <c r="N59" s="158">
        <f>+M59</f>
        <v>4479</v>
      </c>
      <c r="R59" s="3">
        <v>1845.01</v>
      </c>
      <c r="S59">
        <f>1845.01*18%</f>
        <v>332.10179999999997</v>
      </c>
      <c r="U59" s="50">
        <f>+R59-S59</f>
        <v>1512.9082000000001</v>
      </c>
      <c r="V59" s="205">
        <f>+V58</f>
        <v>0.05</v>
      </c>
      <c r="W59" s="50">
        <v>92.67</v>
      </c>
      <c r="X59" s="50">
        <f>+R59-W59</f>
        <v>1752.34</v>
      </c>
    </row>
    <row r="60" spans="1:29">
      <c r="A60" s="92"/>
      <c r="B60" s="93"/>
      <c r="C60" s="94"/>
      <c r="D60" s="95"/>
      <c r="E60" s="93"/>
      <c r="F60" s="93"/>
      <c r="H60" s="94"/>
      <c r="I60" s="93"/>
      <c r="J60" s="93"/>
      <c r="K60" s="197" t="s">
        <v>216</v>
      </c>
      <c r="L60" s="196" t="s">
        <v>217</v>
      </c>
      <c r="M60" s="158">
        <v>21948</v>
      </c>
      <c r="N60" s="158">
        <v>21018</v>
      </c>
      <c r="R60" s="3"/>
      <c r="U60" s="50"/>
      <c r="V60" s="205"/>
      <c r="W60" s="50"/>
      <c r="X60" s="50"/>
    </row>
    <row r="61" spans="1:29">
      <c r="A61" s="92"/>
      <c r="B61" s="93"/>
      <c r="C61" s="94"/>
      <c r="D61" s="95"/>
      <c r="E61" s="93"/>
      <c r="F61" s="93"/>
      <c r="H61" s="94"/>
      <c r="I61" s="93"/>
      <c r="J61" s="93"/>
      <c r="K61" s="93" t="s">
        <v>171</v>
      </c>
      <c r="L61" s="196" t="s">
        <v>214</v>
      </c>
      <c r="M61" s="158">
        <v>3003</v>
      </c>
      <c r="N61" s="158">
        <v>3003</v>
      </c>
      <c r="R61" s="3"/>
      <c r="U61" s="50"/>
      <c r="V61" s="205"/>
      <c r="W61" s="50"/>
      <c r="X61" s="50"/>
    </row>
    <row r="62" spans="1:29">
      <c r="A62" s="92"/>
      <c r="B62" s="93"/>
      <c r="C62" s="94"/>
      <c r="D62" s="95"/>
      <c r="E62" s="93"/>
      <c r="F62" s="93"/>
      <c r="H62" s="94"/>
      <c r="I62" s="93"/>
      <c r="J62" s="93"/>
      <c r="K62" s="197" t="s">
        <v>215</v>
      </c>
      <c r="L62" s="196" t="s">
        <v>166</v>
      </c>
      <c r="M62" s="158">
        <v>127215</v>
      </c>
      <c r="N62" s="158">
        <f t="shared" ref="N62" si="0">+M62</f>
        <v>127215</v>
      </c>
      <c r="R62" s="3">
        <v>10554.97</v>
      </c>
      <c r="S62" s="3">
        <f>10554.97*18%</f>
        <v>1899.8945999999999</v>
      </c>
      <c r="T62" s="50"/>
      <c r="U62" s="50">
        <f>+R62-S62</f>
        <v>8655.0753999999997</v>
      </c>
      <c r="V62" s="205">
        <f>+V59</f>
        <v>0.05</v>
      </c>
      <c r="W62" s="50">
        <f>+U62*V62</f>
        <v>432.75377000000003</v>
      </c>
      <c r="X62" s="50">
        <f>+R62-W62</f>
        <v>10122.21623</v>
      </c>
    </row>
    <row r="63" spans="1:29">
      <c r="A63" s="92"/>
      <c r="B63" s="93"/>
      <c r="C63" s="94"/>
      <c r="D63" s="95"/>
      <c r="E63" s="93"/>
      <c r="F63" s="93"/>
      <c r="H63" s="94"/>
      <c r="I63" s="93"/>
      <c r="J63" s="93"/>
      <c r="K63" s="197"/>
      <c r="L63" s="196"/>
      <c r="M63" s="158"/>
      <c r="N63" s="158"/>
      <c r="R63" s="3"/>
      <c r="S63" s="3"/>
      <c r="T63" s="50"/>
      <c r="U63" s="50"/>
      <c r="V63" s="205"/>
      <c r="W63" s="50"/>
      <c r="X63" s="50"/>
    </row>
    <row r="64" spans="1:29">
      <c r="A64" s="92"/>
      <c r="B64" s="93"/>
      <c r="C64" s="94"/>
      <c r="D64" s="95"/>
      <c r="E64" s="93"/>
      <c r="F64" s="93"/>
      <c r="H64" s="94"/>
      <c r="I64" s="93">
        <v>2</v>
      </c>
      <c r="J64" s="93">
        <v>3</v>
      </c>
      <c r="K64" s="93"/>
      <c r="L64" s="120" t="s">
        <v>55</v>
      </c>
      <c r="M64" s="122">
        <f>SUM(M65+M67+M69)</f>
        <v>288015</v>
      </c>
      <c r="N64" s="122">
        <f>SUM(N65+N67+N69)</f>
        <v>286702</v>
      </c>
      <c r="W64">
        <v>6553.38</v>
      </c>
    </row>
    <row r="65" spans="1:23">
      <c r="A65" s="92"/>
      <c r="B65" s="93"/>
      <c r="C65" s="94"/>
      <c r="D65" s="95"/>
      <c r="E65" s="93"/>
      <c r="F65" s="93"/>
      <c r="H65" s="94"/>
      <c r="I65" s="93"/>
      <c r="J65" s="93">
        <v>3.1</v>
      </c>
      <c r="K65" s="93" t="s">
        <v>56</v>
      </c>
      <c r="L65" s="123" t="s">
        <v>57</v>
      </c>
      <c r="M65" s="122">
        <f>+M66</f>
        <v>39035</v>
      </c>
      <c r="N65" s="122">
        <f>+N66</f>
        <v>39035</v>
      </c>
      <c r="R65">
        <f>8944.89+1610.08</f>
        <v>10554.97</v>
      </c>
      <c r="W65" s="50"/>
    </row>
    <row r="66" spans="1:23">
      <c r="A66" s="92"/>
      <c r="B66" s="93"/>
      <c r="C66" s="94"/>
      <c r="D66" s="95"/>
      <c r="E66" s="93"/>
      <c r="F66" s="93"/>
      <c r="H66" s="94"/>
      <c r="I66" s="93"/>
      <c r="J66" s="93"/>
      <c r="K66" s="197" t="s">
        <v>218</v>
      </c>
      <c r="L66" s="93" t="s">
        <v>59</v>
      </c>
      <c r="M66" s="124">
        <v>39035</v>
      </c>
      <c r="N66" s="124">
        <f>+M66</f>
        <v>39035</v>
      </c>
      <c r="Q66" s="50"/>
      <c r="R66">
        <f>1563.57+281.44</f>
        <v>1845.01</v>
      </c>
      <c r="S66" s="3"/>
      <c r="W66">
        <f>432.75-17.03</f>
        <v>415.72</v>
      </c>
    </row>
    <row r="67" spans="1:23">
      <c r="A67" s="92"/>
      <c r="B67" s="93"/>
      <c r="C67" s="94"/>
      <c r="D67" s="95"/>
      <c r="E67" s="93"/>
      <c r="F67" s="93"/>
      <c r="H67" s="94"/>
      <c r="I67" s="93"/>
      <c r="J67" s="93">
        <v>3.7</v>
      </c>
      <c r="K67" s="133"/>
      <c r="L67" s="120" t="s">
        <v>60</v>
      </c>
      <c r="M67" s="122">
        <f>+M68</f>
        <v>200500</v>
      </c>
      <c r="N67" s="122">
        <f>+N68</f>
        <v>200500</v>
      </c>
      <c r="T67" s="3"/>
      <c r="U67" s="3"/>
    </row>
    <row r="68" spans="1:23">
      <c r="A68" s="92"/>
      <c r="B68" s="93"/>
      <c r="C68" s="94"/>
      <c r="D68" s="95"/>
      <c r="E68" s="93"/>
      <c r="F68" s="93"/>
      <c r="H68" s="94"/>
      <c r="I68" s="93"/>
      <c r="J68" s="93"/>
      <c r="K68" s="93" t="s">
        <v>61</v>
      </c>
      <c r="L68" s="123" t="s">
        <v>62</v>
      </c>
      <c r="M68" s="125">
        <v>200500</v>
      </c>
      <c r="N68" s="125">
        <f>+M68</f>
        <v>200500</v>
      </c>
      <c r="T68" s="3"/>
      <c r="U68" s="3"/>
    </row>
    <row r="69" spans="1:23">
      <c r="A69" s="92"/>
      <c r="B69" s="93"/>
      <c r="C69" s="94"/>
      <c r="D69" s="95"/>
      <c r="E69" s="93"/>
      <c r="F69" s="93"/>
      <c r="H69" s="94"/>
      <c r="I69" s="93"/>
      <c r="J69" s="93">
        <v>3.9</v>
      </c>
      <c r="K69" s="133"/>
      <c r="L69" s="120" t="s">
        <v>63</v>
      </c>
      <c r="M69" s="138">
        <f>+M70+M72+M73+M71</f>
        <v>48480</v>
      </c>
      <c r="N69" s="138">
        <f>+N70+N72+N73+N71</f>
        <v>47167</v>
      </c>
      <c r="Q69" s="50"/>
      <c r="T69" s="3"/>
      <c r="U69" s="3"/>
      <c r="W69" s="50" t="e">
        <f>6553.38-#REF!</f>
        <v>#REF!</v>
      </c>
    </row>
    <row r="70" spans="1:23">
      <c r="A70" s="92"/>
      <c r="B70" s="93"/>
      <c r="C70" s="94"/>
      <c r="D70" s="95"/>
      <c r="E70" s="93"/>
      <c r="F70" s="93"/>
      <c r="H70" s="94"/>
      <c r="I70" s="93"/>
      <c r="J70" s="93"/>
      <c r="K70" s="197" t="s">
        <v>219</v>
      </c>
      <c r="L70" s="196" t="s">
        <v>152</v>
      </c>
      <c r="M70" s="203">
        <v>33340</v>
      </c>
      <c r="N70" s="203">
        <v>32027</v>
      </c>
      <c r="T70" s="3"/>
      <c r="U70" s="3"/>
    </row>
    <row r="71" spans="1:23">
      <c r="A71" s="92"/>
      <c r="B71" s="93"/>
      <c r="C71" s="94"/>
      <c r="D71" s="95"/>
      <c r="E71" s="93"/>
      <c r="F71" s="93"/>
      <c r="H71" s="94"/>
      <c r="I71" s="93"/>
      <c r="J71" s="93"/>
      <c r="K71" s="197" t="s">
        <v>221</v>
      </c>
      <c r="L71" s="196" t="s">
        <v>222</v>
      </c>
      <c r="M71" s="203">
        <v>3800</v>
      </c>
      <c r="N71" s="203">
        <v>3800</v>
      </c>
      <c r="T71" s="3"/>
      <c r="U71" s="3"/>
    </row>
    <row r="72" spans="1:23">
      <c r="A72" s="92"/>
      <c r="B72" s="93"/>
      <c r="C72" s="94"/>
      <c r="D72" s="95"/>
      <c r="E72" s="93"/>
      <c r="F72" s="93"/>
      <c r="H72" s="94"/>
      <c r="I72" s="93"/>
      <c r="J72" s="93"/>
      <c r="K72" s="197" t="s">
        <v>220</v>
      </c>
      <c r="L72" s="155" t="s">
        <v>129</v>
      </c>
      <c r="M72" s="125">
        <v>8722</v>
      </c>
      <c r="N72" s="125">
        <v>8722</v>
      </c>
      <c r="P72" s="169"/>
      <c r="T72" s="3"/>
      <c r="U72" s="3"/>
    </row>
    <row r="73" spans="1:23">
      <c r="A73" s="92"/>
      <c r="B73" s="93"/>
      <c r="C73" s="94"/>
      <c r="D73" s="95"/>
      <c r="E73" s="93"/>
      <c r="F73" s="93"/>
      <c r="H73" s="94"/>
      <c r="I73" s="93"/>
      <c r="J73" s="93"/>
      <c r="K73" s="197" t="s">
        <v>226</v>
      </c>
      <c r="L73" s="123" t="s">
        <v>65</v>
      </c>
      <c r="M73" s="125">
        <v>2618</v>
      </c>
      <c r="N73" s="125">
        <v>2618</v>
      </c>
      <c r="P73" s="169"/>
      <c r="R73" s="3"/>
    </row>
    <row r="74" spans="1:23">
      <c r="A74" s="92"/>
      <c r="B74" s="93"/>
      <c r="C74" s="94"/>
      <c r="D74" s="95"/>
      <c r="E74" s="93"/>
      <c r="F74" s="93"/>
      <c r="H74" s="94"/>
      <c r="I74" s="93"/>
      <c r="J74" s="93"/>
      <c r="K74" s="93"/>
      <c r="L74" s="196" t="s">
        <v>130</v>
      </c>
      <c r="M74" s="125"/>
      <c r="N74" s="125">
        <v>0</v>
      </c>
      <c r="P74" s="169"/>
      <c r="R74" s="3"/>
      <c r="T74" t="e">
        <f>SUM(#REF!)</f>
        <v>#REF!</v>
      </c>
    </row>
    <row r="75" spans="1:23">
      <c r="A75" s="136"/>
      <c r="D75" s="137"/>
      <c r="L75" s="196" t="s">
        <v>153</v>
      </c>
      <c r="M75" s="191">
        <v>0</v>
      </c>
      <c r="N75" s="143">
        <v>0</v>
      </c>
      <c r="P75" s="169"/>
      <c r="Q75" s="50" t="e">
        <f>+#REF!-#REF!</f>
        <v>#REF!</v>
      </c>
    </row>
    <row r="76" spans="1:23">
      <c r="A76" s="136"/>
      <c r="D76" s="137"/>
      <c r="L76" s="155" t="s">
        <v>130</v>
      </c>
      <c r="M76" s="143"/>
      <c r="N76" s="143"/>
      <c r="P76" s="169"/>
    </row>
    <row r="77" spans="1:23">
      <c r="A77" s="136"/>
      <c r="D77" s="137"/>
      <c r="L77" s="123"/>
      <c r="M77" s="191">
        <f>+M23+M38+M64+M75</f>
        <v>6377867</v>
      </c>
      <c r="N77" s="191">
        <f>+N23+N38+N64+N76+N74</f>
        <v>6285291</v>
      </c>
      <c r="P77" s="169"/>
      <c r="R77" s="3"/>
    </row>
    <row r="78" spans="1:23">
      <c r="A78" s="178"/>
      <c r="B78" s="179"/>
      <c r="C78" s="177"/>
      <c r="D78" s="180"/>
      <c r="E78" s="177"/>
      <c r="G78" s="177"/>
      <c r="I78" s="177"/>
      <c r="J78" s="177"/>
      <c r="K78" s="177"/>
      <c r="L78" s="195"/>
      <c r="M78" s="181"/>
      <c r="N78" s="181"/>
      <c r="P78" s="169"/>
      <c r="Q78" s="50"/>
    </row>
    <row r="79" spans="1:23">
      <c r="J79" s="145"/>
      <c r="L79" s="142"/>
      <c r="M79" s="144"/>
      <c r="N79" s="146"/>
      <c r="O79" s="97"/>
    </row>
    <row r="80" spans="1:23">
      <c r="J80" s="145"/>
      <c r="L80" s="142"/>
      <c r="M80" s="143"/>
      <c r="N80" s="146"/>
      <c r="O80" s="97"/>
    </row>
    <row r="81" spans="10:25">
      <c r="J81" s="145"/>
      <c r="L81" s="128"/>
      <c r="M81" s="144"/>
      <c r="N81" s="146"/>
      <c r="O81" s="97"/>
      <c r="Y81" s="50"/>
    </row>
    <row r="82" spans="10:25">
      <c r="J82" s="145"/>
      <c r="L82" s="142"/>
      <c r="M82" s="144"/>
      <c r="N82" s="146"/>
      <c r="O82" s="97"/>
      <c r="R82" s="50"/>
    </row>
    <row r="83" spans="10:25">
      <c r="J83" s="145"/>
      <c r="L83" s="142"/>
      <c r="M83" s="143"/>
      <c r="N83" s="147"/>
      <c r="O83" s="97"/>
    </row>
    <row r="84" spans="10:25">
      <c r="J84" s="145"/>
      <c r="L84" s="142"/>
      <c r="M84" s="143"/>
      <c r="N84" s="147"/>
      <c r="O84" s="97"/>
    </row>
    <row r="85" spans="10:25">
      <c r="J85" s="145"/>
      <c r="L85" s="128"/>
      <c r="M85" s="144"/>
      <c r="N85" s="147"/>
      <c r="O85" s="97"/>
    </row>
    <row r="86" spans="10:25">
      <c r="J86" s="145"/>
      <c r="L86" s="142"/>
      <c r="M86" s="143"/>
      <c r="N86" s="147"/>
      <c r="O86" s="97"/>
    </row>
    <row r="87" spans="10:25">
      <c r="J87" s="145"/>
      <c r="L87" s="142"/>
      <c r="M87" s="144"/>
      <c r="N87" s="146"/>
      <c r="O87" s="97"/>
    </row>
    <row r="88" spans="10:25">
      <c r="J88" s="145"/>
      <c r="L88" s="128"/>
      <c r="M88" s="144"/>
      <c r="N88" s="147"/>
      <c r="O88" s="97"/>
    </row>
    <row r="89" spans="10:25">
      <c r="J89" s="145"/>
      <c r="K89" s="148"/>
      <c r="L89" s="142"/>
      <c r="M89" s="143"/>
      <c r="N89" s="144"/>
      <c r="O89" s="97"/>
    </row>
    <row r="90" spans="10:25">
      <c r="J90" s="145"/>
      <c r="L90" s="142"/>
      <c r="M90" s="143"/>
      <c r="N90" s="147"/>
      <c r="O90" s="97"/>
    </row>
    <row r="91" spans="10:25">
      <c r="J91" s="145"/>
      <c r="L91" s="142"/>
      <c r="M91" s="146"/>
      <c r="N91" s="147"/>
      <c r="O91" s="97"/>
    </row>
    <row r="92" spans="10:25">
      <c r="J92" s="145"/>
      <c r="L92" s="142"/>
      <c r="M92" s="143"/>
      <c r="N92" s="146"/>
      <c r="O92" s="97"/>
    </row>
    <row r="93" spans="10:25">
      <c r="J93" s="145"/>
      <c r="L93" s="142"/>
      <c r="M93" s="143"/>
      <c r="N93" s="147"/>
      <c r="O93" s="97"/>
    </row>
    <row r="94" spans="10:25">
      <c r="J94" s="145"/>
      <c r="L94" s="142"/>
      <c r="M94" s="143"/>
      <c r="N94" s="147"/>
      <c r="O94" s="97"/>
    </row>
    <row r="95" spans="10:25">
      <c r="J95" s="145"/>
      <c r="L95" s="142"/>
      <c r="M95" s="143"/>
      <c r="N95" s="147"/>
      <c r="O95" s="97"/>
    </row>
    <row r="96" spans="10:25">
      <c r="J96" s="145"/>
      <c r="L96" s="128"/>
      <c r="M96" s="143"/>
      <c r="N96" s="147"/>
      <c r="O96" s="97"/>
    </row>
    <row r="97" spans="10:16">
      <c r="J97" s="145"/>
      <c r="L97" s="142"/>
      <c r="M97" s="143"/>
      <c r="N97" s="147"/>
      <c r="O97" s="97"/>
    </row>
    <row r="98" spans="10:16">
      <c r="J98" s="145"/>
      <c r="L98" s="128"/>
      <c r="M98" s="143"/>
      <c r="N98" s="147"/>
      <c r="O98" s="97"/>
    </row>
    <row r="99" spans="10:16">
      <c r="J99" s="145"/>
      <c r="L99" s="128"/>
      <c r="M99" s="144"/>
      <c r="N99" s="147"/>
      <c r="O99" s="97"/>
    </row>
    <row r="100" spans="10:16">
      <c r="J100" s="145"/>
      <c r="L100" s="128"/>
      <c r="M100" s="144"/>
      <c r="N100" s="146"/>
      <c r="O100" s="97"/>
    </row>
    <row r="101" spans="10:16">
      <c r="J101" s="145"/>
      <c r="L101" s="142"/>
      <c r="M101" s="144"/>
      <c r="N101" s="146"/>
      <c r="O101" s="143"/>
      <c r="P101" s="143"/>
    </row>
    <row r="102" spans="10:16">
      <c r="J102" s="145"/>
      <c r="L102" s="142"/>
      <c r="M102" s="144"/>
      <c r="N102" s="146"/>
      <c r="O102" s="143"/>
      <c r="P102" s="143"/>
    </row>
    <row r="103" spans="10:16">
      <c r="J103" s="149"/>
      <c r="L103" s="142"/>
      <c r="M103" s="150"/>
      <c r="N103" s="144"/>
      <c r="O103" s="143"/>
      <c r="P103" s="143"/>
    </row>
    <row r="104" spans="10:16">
      <c r="J104" s="149"/>
      <c r="L104" s="142"/>
      <c r="M104" s="144"/>
      <c r="N104" s="150"/>
      <c r="O104" s="143"/>
      <c r="P104" s="143"/>
    </row>
    <row r="105" spans="10:16">
      <c r="J105" s="145"/>
      <c r="L105" s="128"/>
      <c r="M105" s="144"/>
      <c r="N105" s="144"/>
      <c r="O105" s="143"/>
      <c r="P105" s="143"/>
    </row>
    <row r="106" spans="10:16">
      <c r="J106" s="145"/>
      <c r="L106" s="142"/>
      <c r="M106" s="143"/>
      <c r="N106" s="144"/>
      <c r="O106" s="143"/>
      <c r="P106" s="143"/>
    </row>
    <row r="107" spans="10:16">
      <c r="J107" s="145"/>
      <c r="L107" s="142"/>
      <c r="M107" s="143"/>
      <c r="N107" s="144"/>
      <c r="O107" s="97"/>
    </row>
    <row r="108" spans="10:16">
      <c r="J108" s="145"/>
      <c r="L108" s="128"/>
      <c r="M108" s="144"/>
      <c r="N108" s="143"/>
      <c r="O108" s="97"/>
    </row>
    <row r="109" spans="10:16">
      <c r="L109" s="142"/>
      <c r="M109" s="144"/>
      <c r="N109" s="144"/>
      <c r="O109" s="97"/>
    </row>
    <row r="110" spans="10:16">
      <c r="L110" s="142"/>
      <c r="M110" s="143"/>
      <c r="N110" s="144"/>
      <c r="O110" s="97"/>
    </row>
    <row r="111" spans="10:16">
      <c r="L111" s="128"/>
      <c r="M111" s="143"/>
      <c r="N111" s="143"/>
      <c r="O111" s="97"/>
    </row>
    <row r="112" spans="10:16">
      <c r="L112" s="142"/>
      <c r="M112" s="144"/>
      <c r="N112" s="97"/>
      <c r="O112" s="97"/>
    </row>
    <row r="113" spans="10:17">
      <c r="L113" s="128"/>
      <c r="M113" s="151"/>
      <c r="N113" s="144"/>
      <c r="O113" s="97"/>
    </row>
    <row r="114" spans="10:17">
      <c r="L114" s="128"/>
      <c r="M114" s="97"/>
      <c r="N114" s="151"/>
      <c r="O114" s="97"/>
    </row>
    <row r="115" spans="10:17">
      <c r="L115" s="142"/>
      <c r="M115" s="97"/>
      <c r="N115" s="151"/>
      <c r="O115" s="97"/>
    </row>
    <row r="116" spans="10:17">
      <c r="L116" s="142"/>
      <c r="M116" s="151"/>
      <c r="N116" s="97"/>
      <c r="O116" s="97"/>
    </row>
    <row r="117" spans="10:17">
      <c r="L117" s="142"/>
      <c r="M117" s="151"/>
      <c r="N117" s="151"/>
      <c r="O117" s="97"/>
    </row>
    <row r="118" spans="10:17">
      <c r="L118" s="142"/>
      <c r="M118" s="151"/>
      <c r="N118" s="151"/>
      <c r="O118" s="97"/>
    </row>
    <row r="119" spans="10:17">
      <c r="L119" s="142"/>
      <c r="M119" s="97"/>
      <c r="N119" s="151"/>
      <c r="O119" s="97"/>
    </row>
    <row r="120" spans="10:17">
      <c r="L120" s="142"/>
      <c r="M120" s="97"/>
      <c r="N120" s="151"/>
      <c r="O120" s="142"/>
      <c r="P120" s="97"/>
      <c r="Q120" s="97"/>
    </row>
    <row r="121" spans="10:17">
      <c r="L121" s="142"/>
      <c r="M121" s="151"/>
      <c r="N121" s="97"/>
      <c r="O121" s="97"/>
    </row>
    <row r="122" spans="10:17">
      <c r="J122" s="145"/>
      <c r="L122" s="142"/>
      <c r="M122" s="151"/>
      <c r="N122" s="151"/>
      <c r="O122" s="97"/>
    </row>
    <row r="123" spans="10:17">
      <c r="J123" s="145"/>
      <c r="L123" s="142"/>
      <c r="M123" s="151"/>
      <c r="N123" s="151"/>
      <c r="O123" s="97"/>
    </row>
    <row r="124" spans="10:17">
      <c r="L124" s="142"/>
      <c r="M124" s="97"/>
      <c r="N124" s="151"/>
      <c r="O124" s="97"/>
    </row>
    <row r="125" spans="10:17">
      <c r="L125" s="142"/>
      <c r="M125" s="151"/>
      <c r="N125" s="97"/>
      <c r="O125" s="97"/>
    </row>
    <row r="126" spans="10:17">
      <c r="L126" s="142"/>
      <c r="M126" s="97"/>
      <c r="N126" s="151"/>
      <c r="O126" s="97"/>
    </row>
    <row r="127" spans="10:17">
      <c r="L127" s="142"/>
      <c r="M127" s="97"/>
      <c r="N127" s="97"/>
      <c r="O127" s="97"/>
    </row>
    <row r="128" spans="10:17">
      <c r="J128" s="145"/>
      <c r="L128" s="142"/>
      <c r="M128" s="97"/>
      <c r="N128" s="97"/>
      <c r="O128" s="97"/>
    </row>
    <row r="129" spans="1:15">
      <c r="K129" s="145"/>
      <c r="M129" s="151"/>
      <c r="N129" s="97"/>
      <c r="O129" s="97"/>
    </row>
    <row r="130" spans="1:15">
      <c r="J130" s="145"/>
      <c r="K130" s="145"/>
      <c r="M130" s="97"/>
      <c r="N130" s="151"/>
      <c r="O130" s="97"/>
    </row>
    <row r="131" spans="1:15">
      <c r="K131" s="145"/>
      <c r="M131" s="151"/>
      <c r="N131" s="97"/>
      <c r="O131" s="97"/>
    </row>
    <row r="132" spans="1:15">
      <c r="A132" t="s">
        <v>67</v>
      </c>
      <c r="M132" s="151"/>
      <c r="N132" s="151"/>
    </row>
    <row r="133" spans="1:15">
      <c r="M133" s="97"/>
      <c r="N133" s="151"/>
    </row>
    <row r="134" spans="1:15">
      <c r="M134" s="97"/>
      <c r="N134" s="97"/>
    </row>
  </sheetData>
  <mergeCells count="8">
    <mergeCell ref="A20:H20"/>
    <mergeCell ref="I20:K20"/>
    <mergeCell ref="A11:N11"/>
    <mergeCell ref="A12:N12"/>
    <mergeCell ref="M13:N13"/>
    <mergeCell ref="M14:N14"/>
    <mergeCell ref="A19:K19"/>
    <mergeCell ref="L19:N19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opLeftCell="D1" workbookViewId="0">
      <selection activeCell="I13" sqref="I13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8" spans="4:14" ht="15.75">
      <c r="D8" s="229" t="s">
        <v>68</v>
      </c>
      <c r="E8" s="229"/>
      <c r="F8" s="229"/>
      <c r="G8" s="229"/>
      <c r="H8" s="51"/>
    </row>
    <row r="9" spans="4:14" ht="15.75">
      <c r="D9" s="229" t="s">
        <v>69</v>
      </c>
      <c r="E9" s="229"/>
      <c r="F9" s="229"/>
      <c r="G9" s="229"/>
      <c r="H9" s="51"/>
    </row>
    <row r="10" spans="4:14" ht="15.75">
      <c r="D10" s="229" t="s">
        <v>204</v>
      </c>
      <c r="E10" s="229"/>
      <c r="F10" s="229"/>
      <c r="G10" s="229"/>
      <c r="H10" s="51"/>
    </row>
    <row r="11" spans="4:14" ht="15.75">
      <c r="D11" s="2"/>
      <c r="E11" s="2"/>
      <c r="F11" s="2"/>
      <c r="G11" s="68"/>
      <c r="H11" s="51"/>
    </row>
    <row r="12" spans="4:14" ht="15.75">
      <c r="D12" s="2"/>
      <c r="E12" s="2"/>
      <c r="F12" s="2"/>
      <c r="G12" s="68"/>
      <c r="H12" s="51"/>
    </row>
    <row r="13" spans="4:14" ht="15">
      <c r="D13" s="51"/>
      <c r="E13" s="51"/>
      <c r="F13" s="51"/>
      <c r="G13" s="68"/>
      <c r="H13" s="51"/>
    </row>
    <row r="14" spans="4:14" ht="15">
      <c r="D14" s="51" t="s">
        <v>70</v>
      </c>
      <c r="E14" s="51"/>
      <c r="F14" s="51"/>
      <c r="G14" s="69">
        <v>23150054</v>
      </c>
      <c r="H14" s="51"/>
    </row>
    <row r="15" spans="4:14" ht="15" hidden="1">
      <c r="D15" s="51" t="s">
        <v>71</v>
      </c>
      <c r="E15" s="51"/>
      <c r="F15" s="70"/>
      <c r="G15" s="69" t="s">
        <v>72</v>
      </c>
      <c r="H15" s="51"/>
    </row>
    <row r="16" spans="4:14" ht="15.75" thickBot="1">
      <c r="D16" s="51" t="s">
        <v>73</v>
      </c>
      <c r="E16" s="51"/>
      <c r="F16" s="51"/>
      <c r="G16" s="71">
        <v>3124240</v>
      </c>
      <c r="H16" s="51"/>
    </row>
    <row r="17" spans="4:8" ht="15.75">
      <c r="D17" s="51"/>
      <c r="E17" s="51"/>
      <c r="F17" s="51"/>
      <c r="G17" s="72"/>
      <c r="H17" s="2"/>
    </row>
    <row r="18" spans="4:8" ht="15">
      <c r="D18" s="51"/>
      <c r="E18" s="51"/>
      <c r="F18" s="51"/>
      <c r="G18" s="73"/>
      <c r="H18" s="51"/>
    </row>
    <row r="19" spans="4:8" ht="16.5" thickBot="1">
      <c r="D19" s="51" t="s">
        <v>74</v>
      </c>
      <c r="E19" s="51"/>
      <c r="F19" s="51"/>
      <c r="G19" s="74">
        <f>+G14+G16</f>
        <v>26274294</v>
      </c>
      <c r="H19" s="51"/>
    </row>
    <row r="20" spans="4:8" ht="15.75" thickTop="1">
      <c r="D20" s="51"/>
      <c r="E20" s="51"/>
      <c r="F20" s="51"/>
      <c r="G20" s="75"/>
      <c r="H20" s="51"/>
    </row>
  </sheetData>
  <mergeCells count="3">
    <mergeCell ref="D8:G8"/>
    <mergeCell ref="D9:G9"/>
    <mergeCell ref="D10:G10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>
      <selection activeCell="F4" sqref="F4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5.75">
      <c r="A8" s="229" t="s">
        <v>75</v>
      </c>
      <c r="B8" s="229"/>
      <c r="C8" s="229"/>
      <c r="D8" s="229"/>
      <c r="E8" s="229"/>
      <c r="F8" s="230"/>
      <c r="G8" s="230"/>
    </row>
    <row r="9" spans="1:14" ht="15.75">
      <c r="A9" s="231" t="s">
        <v>76</v>
      </c>
      <c r="B9" s="231"/>
      <c r="C9" s="231"/>
      <c r="D9" s="231"/>
      <c r="E9" s="231"/>
    </row>
    <row r="10" spans="1:14" ht="15.75" customHeight="1">
      <c r="A10" s="232" t="s">
        <v>203</v>
      </c>
      <c r="B10" s="232"/>
      <c r="C10" s="232"/>
      <c r="D10" s="232"/>
      <c r="E10" s="232"/>
    </row>
    <row r="11" spans="1:14" ht="15.75">
      <c r="C11" s="61"/>
      <c r="E11" s="3"/>
    </row>
    <row r="12" spans="1:14" ht="15.75">
      <c r="C12" s="61"/>
      <c r="E12" s="3"/>
    </row>
    <row r="13" spans="1:14">
      <c r="E13" s="3"/>
    </row>
    <row r="14" spans="1:14">
      <c r="E14" s="3"/>
    </row>
    <row r="15" spans="1:14">
      <c r="E15" s="62"/>
    </row>
    <row r="16" spans="1:14" ht="15.75">
      <c r="A16" s="2" t="s">
        <v>77</v>
      </c>
      <c r="B16" s="51"/>
      <c r="C16" s="51"/>
      <c r="D16" s="51"/>
      <c r="E16" s="52">
        <v>992536</v>
      </c>
    </row>
    <row r="17" spans="1:13" ht="15">
      <c r="A17" s="51"/>
      <c r="B17" s="51"/>
      <c r="C17" s="51"/>
      <c r="D17" s="51"/>
      <c r="E17" s="53"/>
    </row>
    <row r="18" spans="1:13" ht="15.75" thickBot="1">
      <c r="A18" s="51" t="s">
        <v>78</v>
      </c>
      <c r="B18" s="51"/>
      <c r="C18" s="51"/>
      <c r="D18" s="51"/>
      <c r="E18" s="55">
        <v>92576</v>
      </c>
      <c r="K18" s="3"/>
    </row>
    <row r="19" spans="1:13" ht="15">
      <c r="A19" s="51"/>
      <c r="B19" s="51"/>
      <c r="C19" s="51"/>
      <c r="D19" s="51"/>
      <c r="E19" s="63"/>
      <c r="K19" s="3"/>
    </row>
    <row r="20" spans="1:13" ht="15">
      <c r="A20" s="51"/>
      <c r="B20" s="51"/>
      <c r="C20" s="51"/>
      <c r="D20" s="51"/>
      <c r="E20" s="53"/>
      <c r="K20" s="3"/>
    </row>
    <row r="21" spans="1:13" ht="15">
      <c r="A21" s="51" t="s">
        <v>79</v>
      </c>
      <c r="B21" s="51"/>
      <c r="C21" s="51"/>
      <c r="D21" s="51"/>
      <c r="E21" s="64">
        <f>SUM(E16+E18)</f>
        <v>1085112</v>
      </c>
    </row>
    <row r="22" spans="1:13" ht="15">
      <c r="A22" s="51"/>
      <c r="B22" s="51"/>
      <c r="C22" s="51"/>
      <c r="D22" s="51"/>
      <c r="E22" s="53"/>
    </row>
    <row r="23" spans="1:13" ht="15.75" thickBot="1">
      <c r="A23" s="51" t="s">
        <v>80</v>
      </c>
      <c r="B23" s="51"/>
      <c r="C23" s="51"/>
      <c r="D23" s="51"/>
      <c r="E23" s="65">
        <v>0</v>
      </c>
      <c r="K23" s="3"/>
    </row>
    <row r="24" spans="1:13" ht="15">
      <c r="A24" s="51"/>
      <c r="B24" s="51"/>
      <c r="C24" s="51"/>
      <c r="D24" s="51"/>
      <c r="E24" s="53"/>
      <c r="K24" s="3"/>
    </row>
    <row r="25" spans="1:13" ht="15.75">
      <c r="A25" s="2" t="s">
        <v>81</v>
      </c>
      <c r="B25" s="51"/>
      <c r="C25" s="51"/>
      <c r="D25" s="51"/>
      <c r="E25" s="56">
        <f>SUM(E21-E23)</f>
        <v>1085112</v>
      </c>
    </row>
    <row r="26" spans="1:13" ht="15.75">
      <c r="A26" s="2"/>
      <c r="B26" s="51"/>
      <c r="C26" s="51"/>
      <c r="D26" s="51"/>
      <c r="E26" s="66"/>
    </row>
    <row r="27" spans="1:13">
      <c r="E27" s="3"/>
    </row>
    <row r="28" spans="1:13">
      <c r="E28" s="3"/>
    </row>
    <row r="29" spans="1:13">
      <c r="E29" s="3"/>
    </row>
    <row r="30" spans="1:13">
      <c r="E30" s="3"/>
    </row>
    <row r="31" spans="1:13" ht="15">
      <c r="A31" s="51" t="s">
        <v>82</v>
      </c>
      <c r="B31" s="51"/>
      <c r="C31" s="51"/>
      <c r="D31" s="51"/>
      <c r="E31" s="64">
        <v>992536</v>
      </c>
    </row>
    <row r="32" spans="1:13" ht="15">
      <c r="A32" s="51"/>
      <c r="B32" s="51"/>
      <c r="C32" s="51"/>
      <c r="D32" s="51"/>
      <c r="E32" s="53"/>
      <c r="M32" s="3"/>
    </row>
    <row r="33" spans="1:5" ht="15.75" thickBot="1">
      <c r="A33" s="51" t="s">
        <v>83</v>
      </c>
      <c r="B33" s="51"/>
      <c r="C33" s="51"/>
      <c r="D33" s="51"/>
      <c r="E33" s="67">
        <f>+E25</f>
        <v>1085112</v>
      </c>
    </row>
    <row r="34" spans="1:5" ht="15">
      <c r="A34" s="51"/>
      <c r="B34" s="51"/>
      <c r="C34" s="51"/>
      <c r="D34" s="51"/>
      <c r="E34" s="62"/>
    </row>
    <row r="35" spans="1:5" ht="15.75">
      <c r="A35" s="2" t="s">
        <v>84</v>
      </c>
      <c r="B35" s="51"/>
      <c r="C35" s="51"/>
      <c r="D35" s="51"/>
      <c r="E35" s="52">
        <f>+E31-E33</f>
        <v>-92576</v>
      </c>
    </row>
    <row r="36" spans="1:5">
      <c r="E36" s="58"/>
    </row>
    <row r="37" spans="1:5">
      <c r="E37" s="3"/>
    </row>
    <row r="38" spans="1:5">
      <c r="E38" s="3"/>
    </row>
  </sheetData>
  <mergeCells count="4">
    <mergeCell ref="A8:E8"/>
    <mergeCell ref="F8:G8"/>
    <mergeCell ref="A9:E9"/>
    <mergeCell ref="A10:E10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opLeftCell="B1" workbookViewId="0">
      <selection activeCell="G7" sqref="G7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33" t="s">
        <v>85</v>
      </c>
      <c r="C9" s="233"/>
      <c r="D9" s="233"/>
      <c r="E9" s="233"/>
      <c r="F9" s="233"/>
    </row>
    <row r="10" spans="1:14" ht="19.5" customHeight="1">
      <c r="B10" s="233" t="s">
        <v>86</v>
      </c>
      <c r="C10" s="233"/>
      <c r="D10" s="233"/>
      <c r="E10" s="233"/>
      <c r="F10" s="233"/>
    </row>
    <row r="11" spans="1:14" ht="18.75" customHeight="1">
      <c r="A11" t="s">
        <v>87</v>
      </c>
      <c r="B11" s="234" t="s">
        <v>202</v>
      </c>
      <c r="C11" s="234"/>
      <c r="D11" s="234"/>
      <c r="E11" s="234"/>
      <c r="F11" s="234"/>
    </row>
    <row r="14" spans="1:14" ht="15.75">
      <c r="B14" s="2" t="s">
        <v>88</v>
      </c>
      <c r="C14" s="51"/>
      <c r="D14" s="51"/>
      <c r="E14" s="51"/>
      <c r="F14" s="52">
        <v>26231502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89</v>
      </c>
      <c r="C16" s="51"/>
      <c r="D16" s="51"/>
      <c r="E16" s="51"/>
      <c r="F16" s="162">
        <v>6328083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90</v>
      </c>
      <c r="C18" s="51"/>
      <c r="D18" s="51"/>
      <c r="E18" s="51"/>
      <c r="F18" s="54">
        <f>+F14+F16</f>
        <v>32559585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3"/>
    </row>
    <row r="20" spans="2:14" ht="15.75" thickBot="1">
      <c r="B20" s="51" t="s">
        <v>91</v>
      </c>
      <c r="C20" s="51"/>
      <c r="D20" s="51"/>
      <c r="E20" s="51"/>
      <c r="F20" s="55">
        <f>+F18-F22</f>
        <v>6285291</v>
      </c>
    </row>
    <row r="21" spans="2:14" ht="15">
      <c r="B21" s="51"/>
      <c r="C21" s="51"/>
      <c r="D21" s="51"/>
      <c r="E21" s="51"/>
      <c r="F21" s="53"/>
      <c r="J21" s="193"/>
    </row>
    <row r="22" spans="2:14" ht="15.75">
      <c r="B22" s="2" t="s">
        <v>92</v>
      </c>
      <c r="C22" s="51"/>
      <c r="D22" s="51"/>
      <c r="E22" s="51"/>
      <c r="F22" s="56">
        <v>26274294</v>
      </c>
      <c r="I22" s="201"/>
    </row>
    <row r="23" spans="2:14">
      <c r="J23" s="193"/>
    </row>
    <row r="24" spans="2:14">
      <c r="K24" s="193"/>
    </row>
    <row r="25" spans="2:14">
      <c r="N25" s="3"/>
    </row>
    <row r="26" spans="2:14" ht="15">
      <c r="B26" s="51" t="s">
        <v>93</v>
      </c>
      <c r="C26" s="51"/>
      <c r="D26" s="51"/>
      <c r="E26" s="51"/>
      <c r="F26" s="57">
        <f>+F14</f>
        <v>26231502</v>
      </c>
      <c r="I26" s="193"/>
      <c r="N26" s="3"/>
    </row>
    <row r="27" spans="2:14" ht="15">
      <c r="B27" s="51"/>
      <c r="C27" s="51"/>
      <c r="D27" s="51"/>
      <c r="E27" s="51"/>
      <c r="F27" s="53"/>
      <c r="I27" s="3"/>
      <c r="J27" s="3"/>
    </row>
    <row r="28" spans="2:14" ht="15.75" thickBot="1">
      <c r="B28" s="51" t="s">
        <v>94</v>
      </c>
      <c r="C28" s="51"/>
      <c r="D28" s="51"/>
      <c r="E28" s="51"/>
      <c r="F28" s="55">
        <f>+F22</f>
        <v>26274294</v>
      </c>
      <c r="I28" s="200"/>
      <c r="N28" s="50"/>
    </row>
    <row r="29" spans="2:14" ht="15">
      <c r="B29" s="51"/>
      <c r="C29" s="51"/>
      <c r="D29" s="51"/>
      <c r="E29" s="51"/>
      <c r="I29" s="3"/>
    </row>
    <row r="30" spans="2:14" ht="15.75">
      <c r="B30" s="2" t="s">
        <v>138</v>
      </c>
      <c r="C30" s="51"/>
      <c r="D30" s="51"/>
      <c r="E30" s="51"/>
      <c r="F30" s="204">
        <f>+F26-F28</f>
        <v>-42792</v>
      </c>
      <c r="N30" s="194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SheetLayoutView="100" workbookViewId="0">
      <selection activeCell="I25" sqref="I25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 ht="12" customHeight="1">
      <c r="M2" s="3"/>
      <c r="N2" s="3"/>
    </row>
    <row r="3" spans="1:14" ht="12" customHeight="1">
      <c r="M3" s="3"/>
      <c r="N3" s="3"/>
    </row>
    <row r="4" spans="1:14" ht="12" customHeight="1">
      <c r="M4" s="3"/>
      <c r="N4" s="3"/>
    </row>
    <row r="5" spans="1:14">
      <c r="M5" s="3"/>
      <c r="N5" s="3"/>
    </row>
    <row r="6" spans="1:14">
      <c r="M6" s="3"/>
      <c r="N6" s="3"/>
    </row>
    <row r="7" spans="1:14">
      <c r="M7" s="3"/>
      <c r="N7" s="3"/>
    </row>
    <row r="8" spans="1:14">
      <c r="G8" s="1"/>
    </row>
    <row r="10" spans="1:14" ht="16.5" thickBot="1">
      <c r="D10" s="2"/>
      <c r="F10" s="3"/>
    </row>
    <row r="11" spans="1:14">
      <c r="A11" s="214" t="s">
        <v>0</v>
      </c>
      <c r="B11" s="215"/>
      <c r="C11" s="215"/>
      <c r="D11" s="215"/>
      <c r="E11" s="215"/>
      <c r="F11" s="216"/>
    </row>
    <row r="12" spans="1:14" ht="18">
      <c r="A12" s="235" t="s">
        <v>95</v>
      </c>
      <c r="B12" s="233"/>
      <c r="C12" s="233"/>
      <c r="D12" s="233"/>
      <c r="E12" s="233"/>
      <c r="F12" s="236"/>
    </row>
    <row r="13" spans="1:14">
      <c r="A13" s="5"/>
      <c r="D13" s="6"/>
      <c r="E13" s="237"/>
      <c r="F13" s="238"/>
    </row>
    <row r="14" spans="1:14">
      <c r="A14" s="5"/>
      <c r="F14" s="7"/>
    </row>
    <row r="15" spans="1:14">
      <c r="A15" s="8"/>
      <c r="B15" s="9"/>
      <c r="C15" s="9"/>
      <c r="E15" s="9"/>
      <c r="F15" s="10"/>
    </row>
    <row r="16" spans="1:14">
      <c r="A16" s="11" t="s">
        <v>118</v>
      </c>
      <c r="E16" s="239" t="s">
        <v>5</v>
      </c>
      <c r="F16" s="240"/>
    </row>
    <row r="17" spans="1:6">
      <c r="A17" s="11" t="s">
        <v>117</v>
      </c>
      <c r="E17" s="12" t="s">
        <v>7</v>
      </c>
      <c r="F17" s="13"/>
    </row>
    <row r="18" spans="1:6" ht="14.25" customHeight="1">
      <c r="A18" s="192" t="s">
        <v>201</v>
      </c>
      <c r="B18" s="14"/>
      <c r="C18" s="15"/>
      <c r="E18" s="12" t="s">
        <v>8</v>
      </c>
      <c r="F18" s="13"/>
    </row>
    <row r="19" spans="1:6">
      <c r="A19" s="11" t="s">
        <v>141</v>
      </c>
      <c r="E19" s="16" t="s">
        <v>9</v>
      </c>
      <c r="F19" s="17"/>
    </row>
    <row r="20" spans="1:6" ht="13.5" thickBot="1">
      <c r="A20" s="18"/>
      <c r="B20" s="19"/>
      <c r="C20" s="20"/>
      <c r="D20" s="20">
        <v>1</v>
      </c>
      <c r="E20" s="20"/>
      <c r="F20" s="21"/>
    </row>
    <row r="21" spans="1:6" ht="13.5" thickBot="1">
      <c r="F21" s="3"/>
    </row>
    <row r="22" spans="1:6" ht="15.75">
      <c r="A22" s="241" t="s">
        <v>96</v>
      </c>
      <c r="B22" s="241"/>
      <c r="C22" s="241"/>
      <c r="D22" s="241" t="s">
        <v>97</v>
      </c>
      <c r="E22" s="22"/>
      <c r="F22" s="244" t="s">
        <v>98</v>
      </c>
    </row>
    <row r="23" spans="1:6" ht="15.75">
      <c r="A23" s="242"/>
      <c r="B23" s="242"/>
      <c r="C23" s="242"/>
      <c r="D23" s="242"/>
      <c r="E23" s="23" t="s">
        <v>99</v>
      </c>
      <c r="F23" s="245"/>
    </row>
    <row r="24" spans="1:6" ht="15.75">
      <c r="A24" s="246" t="s">
        <v>12</v>
      </c>
      <c r="B24" s="246"/>
      <c r="C24" s="246"/>
      <c r="D24" s="243"/>
      <c r="E24" s="23"/>
      <c r="F24" s="24" t="s">
        <v>100</v>
      </c>
    </row>
    <row r="25" spans="1:6" ht="26.25" thickBot="1">
      <c r="A25" s="25" t="s">
        <v>101</v>
      </c>
      <c r="B25" s="26" t="s">
        <v>102</v>
      </c>
      <c r="C25" s="26" t="s">
        <v>25</v>
      </c>
      <c r="D25" s="27" t="s">
        <v>27</v>
      </c>
      <c r="E25" s="28" t="s">
        <v>28</v>
      </c>
      <c r="F25" s="29"/>
    </row>
    <row r="26" spans="1:6" ht="18.75">
      <c r="A26" s="30">
        <v>1</v>
      </c>
      <c r="B26" s="31"/>
      <c r="C26" s="32"/>
      <c r="D26" s="33" t="s">
        <v>103</v>
      </c>
      <c r="E26" s="34"/>
      <c r="F26" s="35">
        <f>+F28+F29</f>
        <v>6328083</v>
      </c>
    </row>
    <row r="27" spans="1:6" ht="18.75">
      <c r="A27" s="30"/>
      <c r="B27" s="36">
        <v>1</v>
      </c>
      <c r="C27" s="37"/>
      <c r="D27" s="38" t="s">
        <v>104</v>
      </c>
      <c r="E27" s="39"/>
      <c r="F27" s="35">
        <f>+F26</f>
        <v>6328083</v>
      </c>
    </row>
    <row r="28" spans="1:6" ht="18.75">
      <c r="A28" s="30"/>
      <c r="B28" s="40"/>
      <c r="C28" s="37">
        <v>61</v>
      </c>
      <c r="D28" s="38" t="s">
        <v>105</v>
      </c>
      <c r="E28" s="39">
        <v>9992</v>
      </c>
      <c r="F28" s="41">
        <v>2456033</v>
      </c>
    </row>
    <row r="29" spans="1:6" ht="18.75">
      <c r="A29" s="30"/>
      <c r="B29" s="40"/>
      <c r="C29" s="37">
        <v>62</v>
      </c>
      <c r="D29" s="38" t="s">
        <v>106</v>
      </c>
      <c r="E29" s="39">
        <v>9992</v>
      </c>
      <c r="F29" s="41">
        <v>3872050</v>
      </c>
    </row>
    <row r="30" spans="1:6" ht="18.75">
      <c r="A30" s="30">
        <v>1</v>
      </c>
      <c r="B30" s="40"/>
      <c r="C30" s="37"/>
      <c r="D30" s="33" t="s">
        <v>107</v>
      </c>
      <c r="E30" s="39"/>
      <c r="F30" s="35"/>
    </row>
    <row r="31" spans="1:6" ht="18.75">
      <c r="A31" s="30"/>
      <c r="B31" s="40">
        <v>1</v>
      </c>
      <c r="C31" s="37"/>
      <c r="D31" s="38" t="s">
        <v>108</v>
      </c>
      <c r="E31" s="39"/>
      <c r="F31" s="41"/>
    </row>
    <row r="32" spans="1:6" ht="18.75">
      <c r="A32" s="30"/>
      <c r="B32" s="40"/>
      <c r="C32" s="37">
        <v>9</v>
      </c>
      <c r="D32" s="38" t="s">
        <v>107</v>
      </c>
      <c r="E32" s="39"/>
      <c r="F32" s="41"/>
    </row>
    <row r="33" spans="1:7" ht="18.75">
      <c r="A33" s="30"/>
      <c r="B33" s="40"/>
      <c r="C33" s="37"/>
      <c r="D33" s="38" t="s">
        <v>109</v>
      </c>
      <c r="E33" s="39">
        <v>9998</v>
      </c>
      <c r="F33" s="42"/>
    </row>
    <row r="34" spans="1:7" ht="18.75">
      <c r="A34" s="30"/>
      <c r="B34" s="40"/>
      <c r="C34" s="37"/>
      <c r="D34" s="38" t="s">
        <v>109</v>
      </c>
      <c r="E34" s="39"/>
      <c r="F34" s="43"/>
    </row>
    <row r="35" spans="1:7" ht="18.75">
      <c r="A35" s="30"/>
      <c r="B35" s="40"/>
      <c r="C35" s="37"/>
      <c r="D35" s="38" t="s">
        <v>110</v>
      </c>
      <c r="E35" s="39"/>
      <c r="F35" s="43"/>
    </row>
    <row r="36" spans="1:7" ht="18.75">
      <c r="A36" s="30"/>
      <c r="B36" s="40"/>
      <c r="C36" s="37"/>
      <c r="D36" s="38" t="s">
        <v>111</v>
      </c>
      <c r="E36" s="39"/>
      <c r="F36" s="43"/>
    </row>
    <row r="37" spans="1:7" ht="18.75">
      <c r="A37" s="30">
        <v>3</v>
      </c>
      <c r="B37" s="40"/>
      <c r="C37" s="37"/>
      <c r="D37" s="159" t="s">
        <v>124</v>
      </c>
      <c r="E37" s="39"/>
      <c r="F37" s="35">
        <f>+'C.Y BCO. ABRIL'!F30</f>
        <v>-42792</v>
      </c>
    </row>
    <row r="38" spans="1:7" ht="18.75">
      <c r="A38" s="30"/>
      <c r="B38" s="40">
        <v>11</v>
      </c>
      <c r="C38" s="37">
        <v>11</v>
      </c>
      <c r="D38" s="38" t="s">
        <v>112</v>
      </c>
      <c r="E38" s="39"/>
      <c r="F38" s="41">
        <f>+F37</f>
        <v>-42792</v>
      </c>
    </row>
    <row r="39" spans="1:7" ht="18.75">
      <c r="A39" s="30">
        <v>3</v>
      </c>
      <c r="B39" s="40"/>
      <c r="C39" s="37"/>
      <c r="D39" s="33" t="s">
        <v>113</v>
      </c>
      <c r="E39" s="44"/>
      <c r="F39" s="35">
        <f>+F40</f>
        <v>92576</v>
      </c>
    </row>
    <row r="40" spans="1:7" ht="18.75">
      <c r="A40" s="30"/>
      <c r="B40" s="40">
        <v>12</v>
      </c>
      <c r="C40" s="37"/>
      <c r="D40" s="38" t="s">
        <v>114</v>
      </c>
      <c r="E40" s="44"/>
      <c r="F40" s="35">
        <f>40628+51948</f>
        <v>92576</v>
      </c>
    </row>
    <row r="41" spans="1:7" ht="19.5" thickBot="1">
      <c r="A41" s="30"/>
      <c r="B41" s="40"/>
      <c r="C41" s="37">
        <v>11</v>
      </c>
      <c r="D41" s="38" t="s">
        <v>115</v>
      </c>
      <c r="E41" s="44"/>
      <c r="F41" s="35">
        <f>+F40</f>
        <v>92576</v>
      </c>
    </row>
    <row r="42" spans="1:7" ht="19.5" thickBot="1">
      <c r="A42" s="45"/>
      <c r="B42" s="46"/>
      <c r="C42" s="46"/>
      <c r="D42" s="47" t="s">
        <v>66</v>
      </c>
      <c r="E42" s="48"/>
      <c r="F42" s="49">
        <f>+F26+F37+F39</f>
        <v>6377867</v>
      </c>
      <c r="G42" s="50"/>
    </row>
    <row r="49" spans="2:5" ht="71.25" customHeight="1">
      <c r="B49" s="163"/>
      <c r="C49" s="160"/>
      <c r="D49" s="168"/>
    </row>
    <row r="50" spans="2:5" ht="25.5" hidden="1" customHeight="1">
      <c r="B50" s="165"/>
      <c r="C50" s="161" t="s">
        <v>127</v>
      </c>
    </row>
    <row r="51" spans="2:5">
      <c r="C51" s="161"/>
    </row>
    <row r="54" spans="2:5" ht="15.75">
      <c r="C54" s="160"/>
      <c r="E54" s="164"/>
    </row>
    <row r="55" spans="2:5">
      <c r="C55" s="161"/>
    </row>
  </sheetData>
  <mergeCells count="8">
    <mergeCell ref="A11:F11"/>
    <mergeCell ref="A12:F12"/>
    <mergeCell ref="E13:F13"/>
    <mergeCell ref="E16:F16"/>
    <mergeCell ref="A22:C23"/>
    <mergeCell ref="D22:D24"/>
    <mergeCell ref="F22:F23"/>
    <mergeCell ref="A24:C24"/>
  </mergeCells>
  <pageMargins left="0.88" right="0.51" top="0.28999999999999998" bottom="0.5" header="0" footer="0.5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opLeftCell="B4" workbookViewId="0">
      <selection activeCell="I15" sqref="I15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33" t="s">
        <v>85</v>
      </c>
      <c r="C9" s="233"/>
      <c r="D9" s="233"/>
      <c r="E9" s="233"/>
      <c r="F9" s="233"/>
    </row>
    <row r="10" spans="1:14" ht="19.5" customHeight="1">
      <c r="B10" s="233" t="s">
        <v>86</v>
      </c>
      <c r="C10" s="233"/>
      <c r="D10" s="233"/>
      <c r="E10" s="233"/>
      <c r="F10" s="233"/>
    </row>
    <row r="11" spans="1:14" ht="18.75" customHeight="1">
      <c r="A11" t="s">
        <v>87</v>
      </c>
      <c r="B11" s="234" t="s">
        <v>157</v>
      </c>
      <c r="C11" s="234"/>
      <c r="D11" s="234"/>
      <c r="E11" s="234"/>
      <c r="F11" s="234"/>
    </row>
    <row r="14" spans="1:14" ht="15.75">
      <c r="B14" s="2" t="s">
        <v>88</v>
      </c>
      <c r="C14" s="51"/>
      <c r="D14" s="51"/>
      <c r="E14" s="51"/>
      <c r="F14" s="52">
        <v>26656330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89</v>
      </c>
      <c r="C16" s="51"/>
      <c r="D16" s="51"/>
      <c r="E16" s="51"/>
      <c r="F16" s="162">
        <v>5532508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90</v>
      </c>
      <c r="C18" s="51"/>
      <c r="D18" s="51"/>
      <c r="E18" s="51"/>
      <c r="F18" s="54">
        <f>+F14+F16</f>
        <v>32188838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3"/>
    </row>
    <row r="20" spans="2:14" ht="15">
      <c r="B20" s="51" t="s">
        <v>91</v>
      </c>
      <c r="C20" s="51"/>
      <c r="D20" s="51"/>
      <c r="E20" s="51"/>
      <c r="F20" s="55">
        <v>5957336</v>
      </c>
    </row>
    <row r="21" spans="2:14" ht="15">
      <c r="B21" s="51"/>
      <c r="C21" s="51"/>
      <c r="D21" s="51"/>
      <c r="E21" s="51"/>
      <c r="F21" s="53"/>
      <c r="J21" s="193"/>
    </row>
    <row r="22" spans="2:14" ht="15.75">
      <c r="B22" s="2" t="s">
        <v>92</v>
      </c>
      <c r="C22" s="51"/>
      <c r="D22" s="51"/>
      <c r="E22" s="51"/>
      <c r="F22" s="56">
        <v>26231502</v>
      </c>
      <c r="I22" s="201"/>
    </row>
    <row r="23" spans="2:14">
      <c r="J23" s="193"/>
    </row>
    <row r="24" spans="2:14">
      <c r="K24" s="193"/>
    </row>
    <row r="25" spans="2:14">
      <c r="N25" s="3"/>
    </row>
    <row r="26" spans="2:14" ht="15">
      <c r="B26" s="51" t="s">
        <v>93</v>
      </c>
      <c r="C26" s="51"/>
      <c r="D26" s="51"/>
      <c r="E26" s="51"/>
      <c r="F26" s="57">
        <f>+F14</f>
        <v>26656330</v>
      </c>
      <c r="I26" s="193"/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94</v>
      </c>
      <c r="C28" s="51"/>
      <c r="D28" s="51"/>
      <c r="E28" s="51"/>
      <c r="F28" s="55">
        <f>+F22</f>
        <v>26231502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138</v>
      </c>
      <c r="C30" s="51"/>
      <c r="D30" s="51"/>
      <c r="E30" s="51"/>
      <c r="F30" s="204">
        <f>+F26-F28</f>
        <v>424828</v>
      </c>
      <c r="N30" s="194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topLeftCell="A2" zoomScaleSheetLayoutView="100" workbookViewId="0">
      <selection activeCell="F37" sqref="F37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14" t="s">
        <v>0</v>
      </c>
      <c r="B9" s="215"/>
      <c r="C9" s="215"/>
      <c r="D9" s="215"/>
      <c r="E9" s="215"/>
      <c r="F9" s="216"/>
    </row>
    <row r="10" spans="1:14" ht="18">
      <c r="A10" s="235" t="s">
        <v>95</v>
      </c>
      <c r="B10" s="233"/>
      <c r="C10" s="233"/>
      <c r="D10" s="233"/>
      <c r="E10" s="233"/>
      <c r="F10" s="236"/>
    </row>
    <row r="11" spans="1:14">
      <c r="A11" s="5"/>
      <c r="D11" s="6"/>
      <c r="E11" s="237"/>
      <c r="F11" s="238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118</v>
      </c>
      <c r="E14" s="239" t="s">
        <v>5</v>
      </c>
      <c r="F14" s="240"/>
    </row>
    <row r="15" spans="1:14">
      <c r="A15" s="11" t="s">
        <v>117</v>
      </c>
      <c r="E15" s="12" t="s">
        <v>7</v>
      </c>
      <c r="F15" s="13"/>
    </row>
    <row r="16" spans="1:14" ht="14.25" customHeight="1">
      <c r="A16" s="192" t="s">
        <v>158</v>
      </c>
      <c r="B16" s="14"/>
      <c r="C16" s="15"/>
      <c r="E16" s="12" t="s">
        <v>8</v>
      </c>
      <c r="F16" s="13"/>
    </row>
    <row r="17" spans="1:6">
      <c r="A17" s="11" t="s">
        <v>141</v>
      </c>
      <c r="E17" s="16" t="s">
        <v>9</v>
      </c>
      <c r="F17" s="17"/>
    </row>
    <row r="18" spans="1:6" ht="13.5" thickBot="1">
      <c r="A18" s="18"/>
      <c r="B18" s="19"/>
      <c r="C18" s="20"/>
      <c r="D18" s="20">
        <v>1</v>
      </c>
      <c r="E18" s="20"/>
      <c r="F18" s="21"/>
    </row>
    <row r="19" spans="1:6" ht="13.5" thickBot="1">
      <c r="F19" s="3"/>
    </row>
    <row r="20" spans="1:6" ht="15.75">
      <c r="A20" s="241" t="s">
        <v>96</v>
      </c>
      <c r="B20" s="241"/>
      <c r="C20" s="241"/>
      <c r="D20" s="241" t="s">
        <v>97</v>
      </c>
      <c r="E20" s="22"/>
      <c r="F20" s="244" t="s">
        <v>98</v>
      </c>
    </row>
    <row r="21" spans="1:6" ht="15.75">
      <c r="A21" s="242"/>
      <c r="B21" s="242"/>
      <c r="C21" s="242"/>
      <c r="D21" s="242"/>
      <c r="E21" s="23" t="s">
        <v>99</v>
      </c>
      <c r="F21" s="245"/>
    </row>
    <row r="22" spans="1:6" ht="15.75">
      <c r="A22" s="246" t="s">
        <v>12</v>
      </c>
      <c r="B22" s="246"/>
      <c r="C22" s="246"/>
      <c r="D22" s="243"/>
      <c r="E22" s="23"/>
      <c r="F22" s="24" t="s">
        <v>100</v>
      </c>
    </row>
    <row r="23" spans="1:6" ht="26.25" thickBot="1">
      <c r="A23" s="25" t="s">
        <v>101</v>
      </c>
      <c r="B23" s="26" t="s">
        <v>102</v>
      </c>
      <c r="C23" s="26" t="s">
        <v>25</v>
      </c>
      <c r="D23" s="27" t="s">
        <v>27</v>
      </c>
      <c r="E23" s="28" t="s">
        <v>28</v>
      </c>
      <c r="F23" s="29"/>
    </row>
    <row r="24" spans="1:6" ht="18.75">
      <c r="A24" s="30">
        <v>1</v>
      </c>
      <c r="B24" s="31"/>
      <c r="C24" s="32"/>
      <c r="D24" s="33" t="s">
        <v>103</v>
      </c>
      <c r="E24" s="34"/>
      <c r="F24" s="35">
        <f>+F26+F27</f>
        <v>5532508</v>
      </c>
    </row>
    <row r="25" spans="1:6" ht="18.75">
      <c r="A25" s="30"/>
      <c r="B25" s="36">
        <v>1</v>
      </c>
      <c r="C25" s="37"/>
      <c r="D25" s="38" t="s">
        <v>104</v>
      </c>
      <c r="E25" s="39"/>
      <c r="F25" s="35">
        <f>+F24</f>
        <v>5532508</v>
      </c>
    </row>
    <row r="26" spans="1:6" ht="18.75">
      <c r="A26" s="30"/>
      <c r="B26" s="40"/>
      <c r="C26" s="37">
        <v>61</v>
      </c>
      <c r="D26" s="38" t="s">
        <v>105</v>
      </c>
      <c r="E26" s="39">
        <v>9992</v>
      </c>
      <c r="F26" s="41">
        <v>1660458</v>
      </c>
    </row>
    <row r="27" spans="1:6" ht="18.75">
      <c r="A27" s="30"/>
      <c r="B27" s="40"/>
      <c r="C27" s="37">
        <v>62</v>
      </c>
      <c r="D27" s="38" t="s">
        <v>106</v>
      </c>
      <c r="E27" s="39">
        <v>9992</v>
      </c>
      <c r="F27" s="41">
        <v>3872050</v>
      </c>
    </row>
    <row r="28" spans="1:6" ht="18.75">
      <c r="A28" s="30">
        <v>1</v>
      </c>
      <c r="B28" s="40"/>
      <c r="C28" s="37"/>
      <c r="D28" s="33" t="s">
        <v>107</v>
      </c>
      <c r="E28" s="39"/>
      <c r="F28" s="35"/>
    </row>
    <row r="29" spans="1:6" ht="18.75">
      <c r="A29" s="30"/>
      <c r="B29" s="40">
        <v>1</v>
      </c>
      <c r="C29" s="37"/>
      <c r="D29" s="38" t="s">
        <v>108</v>
      </c>
      <c r="E29" s="39"/>
      <c r="F29" s="41"/>
    </row>
    <row r="30" spans="1:6" ht="18.75">
      <c r="A30" s="30"/>
      <c r="B30" s="40"/>
      <c r="C30" s="37">
        <v>9</v>
      </c>
      <c r="D30" s="38" t="s">
        <v>107</v>
      </c>
      <c r="E30" s="39"/>
      <c r="F30" s="41"/>
    </row>
    <row r="31" spans="1:6" ht="18.75">
      <c r="A31" s="30"/>
      <c r="B31" s="40"/>
      <c r="C31" s="37"/>
      <c r="D31" s="38" t="s">
        <v>109</v>
      </c>
      <c r="E31" s="39">
        <v>9998</v>
      </c>
      <c r="F31" s="42"/>
    </row>
    <row r="32" spans="1:6" ht="18.75">
      <c r="A32" s="30"/>
      <c r="B32" s="40"/>
      <c r="C32" s="37"/>
      <c r="D32" s="38" t="s">
        <v>109</v>
      </c>
      <c r="E32" s="39"/>
      <c r="F32" s="43"/>
    </row>
    <row r="33" spans="1:7" ht="18.75">
      <c r="A33" s="30"/>
      <c r="B33" s="40"/>
      <c r="C33" s="37"/>
      <c r="D33" s="38" t="s">
        <v>110</v>
      </c>
      <c r="E33" s="39"/>
      <c r="F33" s="43"/>
    </row>
    <row r="34" spans="1:7" ht="18.75">
      <c r="A34" s="30"/>
      <c r="B34" s="40"/>
      <c r="C34" s="37"/>
      <c r="D34" s="38" t="s">
        <v>111</v>
      </c>
      <c r="E34" s="39"/>
      <c r="F34" s="43"/>
    </row>
    <row r="35" spans="1:7" ht="18.75">
      <c r="A35" s="30">
        <v>3</v>
      </c>
      <c r="B35" s="40"/>
      <c r="C35" s="37"/>
      <c r="D35" s="159" t="s">
        <v>124</v>
      </c>
      <c r="E35" s="39"/>
      <c r="F35" s="35">
        <f>+'C.Y BCO.'!F30</f>
        <v>424828</v>
      </c>
    </row>
    <row r="36" spans="1:7" ht="18.75">
      <c r="A36" s="30"/>
      <c r="B36" s="40">
        <v>11</v>
      </c>
      <c r="C36" s="37">
        <v>11</v>
      </c>
      <c r="D36" s="38" t="s">
        <v>112</v>
      </c>
      <c r="E36" s="39"/>
      <c r="F36" s="41">
        <f>+F35</f>
        <v>424828</v>
      </c>
    </row>
    <row r="37" spans="1:7" ht="18.75">
      <c r="A37" s="30">
        <v>3</v>
      </c>
      <c r="B37" s="40"/>
      <c r="C37" s="37"/>
      <c r="D37" s="33" t="s">
        <v>113</v>
      </c>
      <c r="E37" s="44"/>
      <c r="F37" s="35">
        <v>132994</v>
      </c>
    </row>
    <row r="38" spans="1:7" ht="18.75">
      <c r="A38" s="30"/>
      <c r="B38" s="40">
        <v>12</v>
      </c>
      <c r="C38" s="37"/>
      <c r="D38" s="38" t="s">
        <v>114</v>
      </c>
      <c r="E38" s="44"/>
      <c r="F38" s="35">
        <f>+F37</f>
        <v>132994</v>
      </c>
    </row>
    <row r="39" spans="1:7" ht="19.5" thickBot="1">
      <c r="A39" s="30"/>
      <c r="B39" s="40"/>
      <c r="C39" s="37">
        <v>11</v>
      </c>
      <c r="D39" s="38" t="s">
        <v>115</v>
      </c>
      <c r="E39" s="44"/>
      <c r="F39" s="35">
        <f>+F38</f>
        <v>132994</v>
      </c>
    </row>
    <row r="40" spans="1:7" ht="19.5" thickBot="1">
      <c r="A40" s="45"/>
      <c r="B40" s="46"/>
      <c r="C40" s="46"/>
      <c r="D40" s="47" t="s">
        <v>66</v>
      </c>
      <c r="E40" s="48"/>
      <c r="F40" s="49">
        <f>+F24+F35+F37</f>
        <v>6090330</v>
      </c>
      <c r="G40" s="50"/>
    </row>
    <row r="47" spans="1:7" ht="71.25" customHeight="1">
      <c r="B47" s="163"/>
      <c r="C47" s="160"/>
      <c r="D47" s="168"/>
    </row>
    <row r="48" spans="1:7" ht="25.5" hidden="1" customHeight="1">
      <c r="B48" s="165"/>
      <c r="C48" s="161" t="s">
        <v>127</v>
      </c>
    </row>
    <row r="49" spans="3:5">
      <c r="C49" s="161"/>
    </row>
    <row r="52" spans="3:5" ht="15.75">
      <c r="C52" s="160"/>
      <c r="E52" s="164"/>
    </row>
    <row r="53" spans="3:5">
      <c r="C53" s="161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workbookViewId="0">
      <selection activeCell="H31" sqref="H31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29" t="s">
        <v>75</v>
      </c>
      <c r="B9" s="229"/>
      <c r="C9" s="229"/>
      <c r="D9" s="229"/>
      <c r="E9" s="229"/>
      <c r="F9" s="230"/>
      <c r="G9" s="230"/>
    </row>
    <row r="10" spans="1:14" ht="15.75">
      <c r="A10" s="231" t="s">
        <v>76</v>
      </c>
      <c r="B10" s="231"/>
      <c r="C10" s="231"/>
      <c r="D10" s="231"/>
      <c r="E10" s="231"/>
    </row>
    <row r="11" spans="1:14" ht="15.75" customHeight="1">
      <c r="A11" s="232" t="s">
        <v>156</v>
      </c>
      <c r="B11" s="232"/>
      <c r="C11" s="232"/>
      <c r="D11" s="232"/>
      <c r="E11" s="232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895482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>
        <v>97054</v>
      </c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992536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>
        <v>884628</v>
      </c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107908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>
        <f>+E17</f>
        <v>895482</v>
      </c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f>+E26</f>
        <v>107908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84</v>
      </c>
      <c r="B36" s="51"/>
      <c r="C36" s="51"/>
      <c r="D36" s="51"/>
      <c r="E36" s="52">
        <f>+E32-E34</f>
        <v>787574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EJEC. NOV. (2)</vt:lpstr>
      <vt:lpstr>EJEC.ABRIL</vt:lpstr>
      <vt:lpstr>BAL.  ABRIL</vt:lpstr>
      <vt:lpstr>C X P  ABRIL</vt:lpstr>
      <vt:lpstr>C.Y BCO. ABRIL</vt:lpstr>
      <vt:lpstr>INGRESOS ABRIL</vt:lpstr>
      <vt:lpstr>C.Y BCO.</vt:lpstr>
      <vt:lpstr>INGRESOS</vt:lpstr>
      <vt:lpstr>C X P </vt:lpstr>
      <vt:lpstr>BAL. </vt:lpstr>
      <vt:lpstr>EJEC.MARZO</vt:lpstr>
      <vt:lpstr>Hoja1</vt:lpstr>
      <vt:lpstr>'BAL. '!Área_de_impresión</vt:lpstr>
      <vt:lpstr>'BAL.  ABRIL'!Área_de_impresión</vt:lpstr>
      <vt:lpstr>'C X P '!Área_de_impresión</vt:lpstr>
      <vt:lpstr>'C X P  ABRIL'!Área_de_impresión</vt:lpstr>
      <vt:lpstr>'C.Y BCO.'!Área_de_impresión</vt:lpstr>
      <vt:lpstr>'C.Y BCO. ABRIL'!Área_de_impresión</vt:lpstr>
      <vt:lpstr>'EJEC. NOV. (2)'!Área_de_impresión</vt:lpstr>
      <vt:lpstr>EJEC.ABRIL!Área_de_impresión</vt:lpstr>
      <vt:lpstr>EJEC.MARZO!Área_de_impresión</vt:lpstr>
      <vt:lpstr>INGRESOS!Área_de_impresión</vt:lpstr>
      <vt:lpstr>'INGRESOS ABRIL'!Área_de_impresión</vt:lpstr>
    </vt:vector>
  </TitlesOfParts>
  <Company>COMPUTOS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Asist Recursos H</cp:lastModifiedBy>
  <cp:lastPrinted>2023-05-10T18:50:04Z</cp:lastPrinted>
  <dcterms:created xsi:type="dcterms:W3CDTF">2004-03-08T17:15:00Z</dcterms:created>
  <dcterms:modified xsi:type="dcterms:W3CDTF">2023-05-10T21:32:27Z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