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EA8B5D97-FC58-4C77-94F5-603321B94AA4}" xr6:coauthVersionLast="47" xr6:coauthVersionMax="47" xr10:uidLastSave="{00000000-0000-0000-0000-000000000000}"/>
  <bookViews>
    <workbookView xWindow="-120" yWindow="-120" windowWidth="29040" windowHeight="15840" tabRatio="603" firstSheet="7" activeTab="11" xr2:uid="{00000000-000D-0000-FFFF-FFFF00000000}"/>
  </bookViews>
  <sheets>
    <sheet name="EJEC. NOV. (2)" sheetId="39" state="hidden" r:id="rId1"/>
    <sheet name="EJEC.OCTUB" sheetId="33" state="hidden" r:id="rId2"/>
    <sheet name="BAL. " sheetId="34" state="hidden" r:id="rId3"/>
    <sheet name="C X P " sheetId="35" state="hidden" r:id="rId4"/>
    <sheet name="INGRESOS" sheetId="36" state="hidden" r:id="rId5"/>
    <sheet name="C.Y BCO." sheetId="37" state="hidden" r:id="rId6"/>
    <sheet name="EJEC.NOV." sheetId="40" state="hidden" r:id="rId7"/>
    <sheet name="EJEC.NOV. (2)" sheetId="45" r:id="rId8"/>
    <sheet name="BAL. NOV" sheetId="41" r:id="rId9"/>
    <sheet name="C.Y BCO. NOV" sheetId="42" r:id="rId10"/>
    <sheet name="INGRESOS NOV" sheetId="43" r:id="rId11"/>
    <sheet name="C X P  NOV" sheetId="44" r:id="rId12"/>
    <sheet name="Hoja1" sheetId="38" r:id="rId13"/>
  </sheets>
  <definedNames>
    <definedName name="_xlnm.Print_Area" localSheetId="2">'BAL. '!$D$1:$G$21</definedName>
    <definedName name="_xlnm.Print_Area" localSheetId="8">'BAL. NOV'!$D$1:$G$21</definedName>
    <definedName name="_xlnm.Print_Area" localSheetId="3">'C X P '!$A$1:$E$37</definedName>
    <definedName name="_xlnm.Print_Area" localSheetId="11">'C X P  NOV'!$A$1:$E$37</definedName>
    <definedName name="_xlnm.Print_Area" localSheetId="5">'C.Y BCO.'!$B$1:$F$31</definedName>
    <definedName name="_xlnm.Print_Area" localSheetId="9">'C.Y BCO. NOV'!$B$1:$F$31</definedName>
    <definedName name="_xlnm.Print_Area" localSheetId="0">'EJEC. NOV. (2)'!$A$1:$N$70</definedName>
    <definedName name="_xlnm.Print_Area" localSheetId="6">'EJEC.NOV.'!$A$1:$N$66</definedName>
    <definedName name="_xlnm.Print_Area" localSheetId="7">'EJEC.NOV. (2)'!$A$1:$N$66</definedName>
    <definedName name="_xlnm.Print_Area" localSheetId="1">EJEC.OCTUB!$A$1:$N$63</definedName>
    <definedName name="_xlnm.Print_Area" localSheetId="4">INGRESOS!$A$1:$F$48</definedName>
    <definedName name="_xlnm.Print_Area" localSheetId="10">'INGRESOS NOV'!$A$1:$F$48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2" l="1"/>
  <c r="F36" i="43"/>
  <c r="F30" i="42"/>
  <c r="F28" i="42"/>
  <c r="F26" i="42"/>
  <c r="F20" i="42"/>
  <c r="F18" i="42"/>
  <c r="F16" i="42"/>
  <c r="AD41" i="45"/>
  <c r="AC43" i="45"/>
  <c r="AD24" i="45"/>
  <c r="N21" i="45"/>
  <c r="Y34" i="45"/>
  <c r="M30" i="45"/>
  <c r="M26" i="45"/>
  <c r="M21" i="45"/>
  <c r="M20" i="45" s="1"/>
  <c r="M60" i="45" s="1"/>
  <c r="Y45" i="45" s="1"/>
  <c r="AA43" i="45"/>
  <c r="AA42" i="45"/>
  <c r="AE38" i="45"/>
  <c r="AE37" i="45"/>
  <c r="AC38" i="45"/>
  <c r="AC37" i="45"/>
  <c r="AB38" i="45"/>
  <c r="AA38" i="45"/>
  <c r="AB37" i="45"/>
  <c r="AA37" i="45"/>
  <c r="Z32" i="45"/>
  <c r="Z34" i="45"/>
  <c r="N28" i="45"/>
  <c r="AB21" i="45"/>
  <c r="Z51" i="33"/>
  <c r="N24" i="45"/>
  <c r="N30" i="45"/>
  <c r="AD14" i="45"/>
  <c r="M43" i="45"/>
  <c r="M42" i="45" s="1"/>
  <c r="N50" i="45"/>
  <c r="M52" i="45"/>
  <c r="M51" i="45" s="1"/>
  <c r="N56" i="45"/>
  <c r="M56" i="45"/>
  <c r="M55" i="45" s="1"/>
  <c r="M32" i="45"/>
  <c r="N43" i="45"/>
  <c r="M36" i="45"/>
  <c r="N52" i="45"/>
  <c r="M53" i="45"/>
  <c r="AD54" i="45"/>
  <c r="AG48" i="45"/>
  <c r="AF75" i="45"/>
  <c r="AE68" i="45"/>
  <c r="AC74" i="45" s="1"/>
  <c r="AA63" i="45"/>
  <c r="Q63" i="45"/>
  <c r="T59" i="45"/>
  <c r="W58" i="45"/>
  <c r="N55" i="45"/>
  <c r="N53" i="45"/>
  <c r="N51" i="45"/>
  <c r="X49" i="45"/>
  <c r="V49" i="45"/>
  <c r="S49" i="45"/>
  <c r="U49" i="45" s="1"/>
  <c r="U48" i="45"/>
  <c r="W48" i="45" s="1"/>
  <c r="X48" i="45" s="1"/>
  <c r="N46" i="45"/>
  <c r="M46" i="45"/>
  <c r="N44" i="45"/>
  <c r="M44" i="45"/>
  <c r="N42" i="45"/>
  <c r="N40" i="45"/>
  <c r="M40" i="45"/>
  <c r="N38" i="45"/>
  <c r="M38" i="45"/>
  <c r="N37" i="45"/>
  <c r="N36" i="45"/>
  <c r="M35" i="45"/>
  <c r="AB32" i="45"/>
  <c r="AA32" i="45"/>
  <c r="N32" i="45"/>
  <c r="N31" i="45"/>
  <c r="M31" i="45"/>
  <c r="N29" i="45"/>
  <c r="AE28" i="45"/>
  <c r="AG33" i="45" s="1"/>
  <c r="S28" i="45"/>
  <c r="N27" i="45"/>
  <c r="R24" i="45"/>
  <c r="O20" i="45"/>
  <c r="AA42" i="40"/>
  <c r="AA46" i="40"/>
  <c r="M21" i="40"/>
  <c r="M20" i="40" s="1"/>
  <c r="M60" i="40" s="1"/>
  <c r="Z67" i="40" s="1"/>
  <c r="AC74" i="40"/>
  <c r="AF75" i="40"/>
  <c r="AE68" i="40"/>
  <c r="M30" i="40"/>
  <c r="M50" i="40"/>
  <c r="M51" i="40"/>
  <c r="M55" i="40"/>
  <c r="AC41" i="40"/>
  <c r="N56" i="40"/>
  <c r="M56" i="40"/>
  <c r="N43" i="40"/>
  <c r="M43" i="40"/>
  <c r="M46" i="33"/>
  <c r="M57" i="33" s="1"/>
  <c r="M30" i="33"/>
  <c r="M35" i="40"/>
  <c r="M44" i="40"/>
  <c r="N31" i="40"/>
  <c r="M31" i="40"/>
  <c r="M40" i="40"/>
  <c r="N40" i="40"/>
  <c r="M38" i="40"/>
  <c r="N26" i="40"/>
  <c r="N22" i="40"/>
  <c r="M26" i="40"/>
  <c r="AE28" i="40"/>
  <c r="AG33" i="40" s="1"/>
  <c r="M21" i="33"/>
  <c r="M20" i="33" s="1"/>
  <c r="Y51" i="45" l="1"/>
  <c r="N26" i="45"/>
  <c r="N20" i="45" s="1"/>
  <c r="N60" i="45" s="1"/>
  <c r="Y54" i="45" s="1"/>
  <c r="N35" i="45"/>
  <c r="M50" i="45"/>
  <c r="Y61" i="45" l="1"/>
  <c r="AB53" i="45"/>
  <c r="N63" i="45"/>
  <c r="Z56" i="45"/>
  <c r="M63" i="45" l="1"/>
  <c r="AC67" i="45"/>
  <c r="Z58" i="45"/>
  <c r="AE47" i="45"/>
  <c r="Z67" i="45"/>
  <c r="N50" i="40" l="1"/>
  <c r="N52" i="40"/>
  <c r="N51" i="40" s="1"/>
  <c r="M52" i="40"/>
  <c r="N28" i="40"/>
  <c r="Z34" i="40"/>
  <c r="AA32" i="40" l="1"/>
  <c r="AB39" i="40" s="1"/>
  <c r="Z32" i="40"/>
  <c r="AB32" i="40"/>
  <c r="N53" i="40"/>
  <c r="M36" i="40"/>
  <c r="N36" i="40" s="1"/>
  <c r="N55" i="40"/>
  <c r="N38" i="40"/>
  <c r="N46" i="40"/>
  <c r="M46" i="40"/>
  <c r="N42" i="40"/>
  <c r="N30" i="40" s="1"/>
  <c r="M42" i="40"/>
  <c r="AB53" i="40" s="1"/>
  <c r="N44" i="40"/>
  <c r="N37" i="40"/>
  <c r="N35" i="40" l="1"/>
  <c r="N32" i="40" l="1"/>
  <c r="E22" i="44"/>
  <c r="E26" i="44" s="1"/>
  <c r="I84" i="38"/>
  <c r="F25" i="43" l="1"/>
  <c r="F24" i="43"/>
  <c r="F40" i="43" s="1"/>
  <c r="G20" i="41"/>
  <c r="AA63" i="40"/>
  <c r="Q63" i="40"/>
  <c r="N63" i="40"/>
  <c r="T59" i="40"/>
  <c r="W58" i="40"/>
  <c r="X49" i="40"/>
  <c r="V49" i="40"/>
  <c r="S49" i="40"/>
  <c r="U49" i="40" s="1"/>
  <c r="U48" i="40"/>
  <c r="W48" i="40" s="1"/>
  <c r="X48" i="40" s="1"/>
  <c r="N29" i="40"/>
  <c r="S28" i="40"/>
  <c r="AA39" i="40"/>
  <c r="N27" i="40"/>
  <c r="N25" i="40"/>
  <c r="R24" i="40"/>
  <c r="N21" i="40"/>
  <c r="O20" i="40"/>
  <c r="N20" i="40" l="1"/>
  <c r="M63" i="40" l="1"/>
  <c r="N46" i="33" l="1"/>
  <c r="N60" i="33"/>
  <c r="N31" i="33"/>
  <c r="M31" i="33"/>
  <c r="N30" i="33" l="1"/>
  <c r="F24" i="36"/>
  <c r="F40" i="36" s="1"/>
  <c r="G20" i="34"/>
  <c r="F25" i="36"/>
  <c r="S45" i="33"/>
  <c r="U44" i="33"/>
  <c r="W44" i="33" s="1"/>
  <c r="T56" i="33"/>
  <c r="X45" i="33"/>
  <c r="V45" i="33"/>
  <c r="U45" i="33" l="1"/>
  <c r="X44" i="33"/>
  <c r="W53" i="33" l="1"/>
  <c r="M26" i="33" l="1"/>
  <c r="S28" i="33"/>
  <c r="R24" i="33"/>
  <c r="M60" i="33" l="1"/>
  <c r="E22" i="35"/>
  <c r="E26" i="35" s="1"/>
  <c r="N29" i="33" l="1"/>
  <c r="N28" i="33"/>
  <c r="N27" i="33"/>
  <c r="N25" i="33"/>
  <c r="N23" i="33"/>
  <c r="N21" i="33" l="1"/>
  <c r="N26" i="33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F18" i="37"/>
  <c r="N61" i="39" l="1"/>
  <c r="M61" i="39"/>
  <c r="O20" i="33" l="1"/>
  <c r="Q60" i="33" l="1"/>
</calcChain>
</file>

<file path=xl/sharedStrings.xml><?xml version="1.0" encoding="utf-8"?>
<sst xmlns="http://schemas.openxmlformats.org/spreadsheetml/2006/main" count="508" uniqueCount="212">
  <si>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</si>
  <si>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</si>
  <si>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</si>
  <si>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</si>
  <si>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</si>
  <si>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</si>
  <si>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</si>
  <si>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</si>
  <si>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</si>
  <si>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</si>
  <si>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</si>
  <si>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</si>
  <si>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</si>
  <si>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</si>
  <si>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</si>
  <si>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</si>
  <si>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</si>
  <si>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</si>
  <si>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</si>
  <si>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</si>
  <si>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</si>
  <si>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</si>
  <si>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</si>
  <si>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</si>
  <si>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</si>
  <si>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</si>
  <si>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</si>
  <si>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</si>
  <si>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</si>
  <si>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</si>
  <si>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</si>
  <si>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</si>
  <si>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</si>
  <si>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</si>
  <si>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</si>
  <si>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</si>
  <si>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</si>
  <si>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</si>
  <si>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</si>
  <si>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</si>
  <si>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</si>
  <si>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</si>
  <si>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</si>
  <si>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</si>
  <si>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</si>
  <si>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</si>
  <si>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</si>
  <si>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</si>
  <si>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</si>
  <si>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</si>
  <si>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</si>
  <si>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</si>
  <si>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</si>
  <si>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</si>
  <si>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</si>
  <si>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</si>
  <si>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</si>
  <si>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</si>
  <si>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</si>
  <si>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</si>
  <si>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</si>
  <si>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</si>
  <si>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</si>
  <si>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</si>
  <si>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</si>
  <si>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</si>
  <si>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</si>
  <si>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</si>
  <si>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</si>
  <si>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</si>
  <si>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</si>
  <si>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</si>
  <si>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</si>
  <si>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</si>
  <si>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</si>
  <si>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</si>
  <si>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</si>
  <si>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</si>
  <si>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</si>
  <si>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</si>
  <si>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</si>
  <si>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</si>
  <si>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</si>
  <si>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</si>
  <si>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</si>
  <si>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</si>
  <si>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</si>
  <si>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</si>
  <si>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</si>
  <si>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</si>
  <si>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</si>
  <si>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</si>
  <si>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</si>
  <si>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</si>
  <si>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</si>
  <si>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</si>
  <si>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</si>
  <si>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</si>
  <si>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</si>
  <si>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</si>
  <si>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</si>
  <si>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</si>
  <si>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</si>
  <si>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</si>
  <si>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</si>
  <si>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</si>
  <si>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</si>
  <si>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</si>
  <si>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</si>
  <si>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</si>
  <si>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</si>
  <si>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</si>
  <si>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</si>
  <si>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</si>
  <si>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</si>
  <si>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</si>
  <si>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</si>
  <si>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</si>
  <si>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</si>
  <si>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</si>
  <si>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</si>
  <si>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</si>
  <si>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</si>
  <si>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</si>
  <si>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</si>
  <si>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</si>
  <si>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</si>
  <si>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</si>
  <si>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</si>
  <si>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</si>
  <si>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</si>
  <si>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</si>
  <si>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</si>
  <si>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</si>
  <si>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</si>
  <si>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</si>
  <si>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</si>
  <si>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</si>
  <si>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</si>
  <si>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</si>
  <si>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SERVICIOS NO PERSONALES</t>
  </si>
  <si>
    <t>SERVICIOS BASICOS</t>
  </si>
  <si>
    <t xml:space="preserve"> </t>
  </si>
  <si>
    <t>2.2.1.8</t>
  </si>
  <si>
    <t xml:space="preserve"> EN CUENTAS POR PAGAR</t>
  </si>
  <si>
    <t>TELEFONO LOCAL</t>
  </si>
  <si>
    <t>ELECTRICIDAD</t>
  </si>
  <si>
    <t>ALQUILERES Y RENTAS</t>
  </si>
  <si>
    <t>2.2.1.6</t>
  </si>
  <si>
    <t>2.2.1.3</t>
  </si>
  <si>
    <t>BIENES MUEBLES,INMUEBLES</t>
  </si>
  <si>
    <t>DISMINUCION   EN CAJA Y BANCO</t>
  </si>
  <si>
    <t>AlQUILER EDIFICIO</t>
  </si>
  <si>
    <t>MES OCTUBRE</t>
  </si>
  <si>
    <t xml:space="preserve">  AL 31   DE  OCTUBRE   2023</t>
  </si>
  <si>
    <t>OCTUBRE</t>
  </si>
  <si>
    <t xml:space="preserve">TRANSPORTE </t>
  </si>
  <si>
    <t>2.2.4.1.01</t>
  </si>
  <si>
    <t>PASAJES</t>
  </si>
  <si>
    <t>2.2.1.7</t>
  </si>
  <si>
    <t>SERVICIOS TECNICOS Y PROF.</t>
  </si>
  <si>
    <t>2.2.8.7.02</t>
  </si>
  <si>
    <t>SERVICIOS JURIDICOS</t>
  </si>
  <si>
    <t xml:space="preserve">ALIMENTOS Y BEBIDAS </t>
  </si>
  <si>
    <t>2.3.1.1.01</t>
  </si>
  <si>
    <t>ALIMENTOS Y BEBIDAS P/PERS.</t>
  </si>
  <si>
    <t>2.3.5</t>
  </si>
  <si>
    <t>PRODUCTOS DE CUEROS</t>
  </si>
  <si>
    <t>2.3.5.3</t>
  </si>
  <si>
    <t>LLANTAS Y NEUMATICOS</t>
  </si>
  <si>
    <t>2.6.1.1.01</t>
  </si>
  <si>
    <t>MOBILIARIO DE OFICINA</t>
  </si>
  <si>
    <t>328.127.00</t>
  </si>
  <si>
    <t>RETENCION 5%</t>
  </si>
  <si>
    <t>AL  31    OCTUBRE   2023</t>
  </si>
  <si>
    <t>Al   31  OCTUBRE   2023</t>
  </si>
  <si>
    <t>NOVIEMBRE</t>
  </si>
  <si>
    <t>Al   30  NOVIEMBRE   2023</t>
  </si>
  <si>
    <t xml:space="preserve">  AL 30   DE  NOVIEMBRE   2023</t>
  </si>
  <si>
    <t>MES NOVIEMBE</t>
  </si>
  <si>
    <t>701-1</t>
  </si>
  <si>
    <t>RD DISELL</t>
  </si>
  <si>
    <t>784-1</t>
  </si>
  <si>
    <t xml:space="preserve">TP COMERCIAL </t>
  </si>
  <si>
    <t>714-1</t>
  </si>
  <si>
    <t>741-1</t>
  </si>
  <si>
    <t>VIATICOS DENTRO DEL PAIS</t>
  </si>
  <si>
    <t>VIATICOS</t>
  </si>
  <si>
    <t>VIATICOS FUERA DEL PAIS</t>
  </si>
  <si>
    <t>2.2.3.2.01</t>
  </si>
  <si>
    <t>2.1.3.2.01</t>
  </si>
  <si>
    <t>PRODUCTOS Y UTILES</t>
  </si>
  <si>
    <t>PRODUCTOS Y UTILES VARIOS</t>
  </si>
  <si>
    <t>2.3.9</t>
  </si>
  <si>
    <t>2.3.9.9.01</t>
  </si>
  <si>
    <t>REPARACION MAQUINARIA</t>
  </si>
  <si>
    <t>MANT.Y REP. EQ. TRANSP</t>
  </si>
  <si>
    <t>2.2.7.2.06</t>
  </si>
  <si>
    <t>2.2.8.7.04</t>
  </si>
  <si>
    <t>SERVICIOS DE CAPACITACION</t>
  </si>
  <si>
    <t>2.3.9.2.01</t>
  </si>
  <si>
    <t>UTILES Y MATERIALES DE ESCR.</t>
  </si>
  <si>
    <t>FAMILIAR</t>
  </si>
  <si>
    <t>RIESGO</t>
  </si>
  <si>
    <t>2.2.3.2.02</t>
  </si>
  <si>
    <t>Deducciones</t>
  </si>
  <si>
    <t>fijos</t>
  </si>
  <si>
    <t>contratados</t>
  </si>
  <si>
    <t>AL  30    NOVIEMBRE   2023</t>
  </si>
  <si>
    <t>Disminucion otros Activos  Financieros</t>
  </si>
  <si>
    <t>Disminucion de Caja y Banco</t>
  </si>
  <si>
    <t>AUMENTO  EN CAJA Y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</si>
</sst>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5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92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43" fontId="14" fillId="0" borderId="16" xfId="1" applyFont="1" applyBorder="1" applyAlignment="1">
      <alignment horizontal="right"/>
    </xf>
    <xf numFmtId="43" fontId="1" fillId="0" borderId="0" xfId="1" applyFont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" fontId="1" fillId="0" borderId="42" xfId="0" applyNumberFormat="1" applyFont="1" applyBorder="1"/>
    <xf numFmtId="49" fontId="23" fillId="0" borderId="0" xfId="0" applyNumberFormat="1" applyFont="1" applyAlignment="1">
      <alignment horizontal="center"/>
    </xf>
    <xf numFmtId="0" fontId="16" fillId="0" borderId="0" xfId="0" applyFont="1"/>
    <xf numFmtId="0" fontId="0" fillId="0" borderId="19" xfId="0" applyBorder="1"/>
    <xf numFmtId="49" fontId="0" fillId="0" borderId="19" xfId="0" applyNumberFormat="1" applyBorder="1"/>
    <xf numFmtId="43" fontId="2" fillId="0" borderId="24" xfId="1" applyFont="1" applyBorder="1" applyAlignment="1">
      <alignment horizontal="right"/>
    </xf>
    <xf numFmtId="169" fontId="2" fillId="0" borderId="24" xfId="1" applyNumberFormat="1" applyFont="1" applyBorder="1"/>
    <xf numFmtId="43" fontId="2" fillId="0" borderId="24" xfId="1" applyFont="1" applyBorder="1"/>
    <xf numFmtId="169" fontId="4" fillId="0" borderId="24" xfId="1" applyNumberFormat="1" applyFont="1" applyBorder="1" applyAlignment="1">
      <alignment horizontal="center"/>
    </xf>
    <xf numFmtId="169" fontId="2" fillId="0" borderId="40" xfId="1" applyNumberFormat="1" applyFont="1" applyBorder="1" applyAlignment="1">
      <alignment horizontal="center"/>
    </xf>
    <xf numFmtId="169" fontId="2" fillId="0" borderId="14" xfId="1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49" fontId="0" fillId="0" borderId="8" xfId="0" applyNumberFormat="1" applyBorder="1" applyAlignment="1">
      <alignment horizontal="center"/>
    </xf>
    <xf numFmtId="169" fontId="16" fillId="0" borderId="0" xfId="0" applyNumberFormat="1" applyFont="1"/>
    <xf numFmtId="43" fontId="14" fillId="0" borderId="24" xfId="1" applyFont="1" applyBorder="1" applyAlignment="1">
      <alignment horizontal="right"/>
    </xf>
    <xf numFmtId="169" fontId="14" fillId="0" borderId="19" xfId="0" applyNumberFormat="1" applyFont="1" applyBorder="1"/>
    <xf numFmtId="43" fontId="2" fillId="0" borderId="19" xfId="1" applyFont="1" applyBorder="1" applyAlignment="1">
      <alignment horizontal="right"/>
    </xf>
    <xf numFmtId="43" fontId="14" fillId="0" borderId="19" xfId="1" applyFont="1" applyBorder="1" applyAlignment="1">
      <alignment horizontal="right"/>
    </xf>
    <xf numFmtId="164" fontId="14" fillId="0" borderId="24" xfId="1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  <xf numFmtId="169" fontId="14" fillId="2" borderId="16" xfId="0" applyNumberFormat="1" applyFont="1" applyFill="1" applyBorder="1"/>
    <xf numFmtId="4" fontId="14" fillId="2" borderId="16" xfId="1" applyNumberFormat="1" applyFont="1" applyFill="1" applyBorder="1" applyAlignment="1">
      <alignment horizontal="right"/>
    </xf>
    <xf numFmtId="169" fontId="14" fillId="2" borderId="0" xfId="0" applyNumberFormat="1" applyFont="1" applyFill="1"/>
    <xf numFmtId="4" fontId="16" fillId="2" borderId="16" xfId="1" applyNumberFormat="1" applyFont="1" applyFill="1" applyBorder="1" applyAlignment="1">
      <alignment horizontal="right"/>
    </xf>
    <xf numFmtId="4" fontId="0" fillId="2" borderId="16" xfId="1" applyNumberFormat="1" applyFont="1" applyFill="1" applyBorder="1" applyAlignment="1">
      <alignment horizontal="right"/>
    </xf>
    <xf numFmtId="43" fontId="14" fillId="2" borderId="16" xfId="1" applyFont="1" applyFill="1" applyBorder="1" applyAlignment="1">
      <alignment horizontal="right"/>
    </xf>
    <xf numFmtId="43" fontId="14" fillId="2" borderId="24" xfId="1" applyFont="1" applyFill="1" applyBorder="1" applyAlignment="1">
      <alignment horizontal="right"/>
    </xf>
    <xf numFmtId="43" fontId="16" fillId="2" borderId="16" xfId="1" applyFont="1" applyFill="1" applyBorder="1" applyAlignment="1">
      <alignment horizontal="right"/>
    </xf>
    <xf numFmtId="43" fontId="0" fillId="2" borderId="16" xfId="1" applyFont="1" applyFill="1" applyBorder="1" applyAlignment="1">
      <alignment horizontal="right"/>
    </xf>
    <xf numFmtId="43" fontId="0" fillId="2" borderId="24" xfId="1" applyFont="1" applyFill="1" applyBorder="1" applyAlignment="1">
      <alignment horizontal="right"/>
    </xf>
    <xf numFmtId="43" fontId="0" fillId="2" borderId="0" xfId="1" applyFont="1" applyFill="1" applyBorder="1"/>
    <xf numFmtId="169" fontId="2" fillId="0" borderId="18" xfId="0" applyNumberFormat="1" applyFont="1" applyBorder="1"/>
    <xf numFmtId="43" fontId="2" fillId="0" borderId="0" xfId="0" applyNumberFormat="1" applyFont="1"/>
    <xf numFmtId="171" fontId="0" fillId="0" borderId="0" xfId="0" applyNumberFormat="1"/>
    <xf numFmtId="43" fontId="0" fillId="2" borderId="0" xfId="1" applyFont="1" applyFill="1"/>
    <xf numFmtId="43" fontId="14" fillId="0" borderId="0" xfId="1" applyFont="1" applyBorder="1"/>
    <xf numFmtId="43" fontId="14" fillId="0" borderId="16" xfId="1" applyFont="1" applyBorder="1"/>
    <xf numFmtId="43" fontId="2" fillId="3" borderId="0" xfId="1" applyFont="1" applyFill="1"/>
    <xf numFmtId="43" fontId="2" fillId="2" borderId="0" xfId="1" applyFont="1" applyFill="1"/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74CBDA2B-076A-4124-AA10-C64BFEF18C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6DA5C3-D35A-4560-9B58-15C71C2D3760}"/>
            </a:ext>
          </a:extLst>
        </xdr:cNvPr>
        <xdr:cNvSpPr txBox="1">
          <a:spLocks noChangeArrowheads="1"/>
        </xdr:cNvSpPr>
      </xdr:nvSpPr>
      <xdr:spPr>
        <a:xfrm>
          <a:off x="28575" y="288607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ECF3E14-1700-4A09-99B8-428810614B76}"/>
            </a:ext>
          </a:extLst>
        </xdr:cNvPr>
        <xdr:cNvSpPr txBox="1">
          <a:spLocks noChangeArrowheads="1"/>
        </xdr:cNvSpPr>
      </xdr:nvSpPr>
      <xdr:spPr>
        <a:xfrm>
          <a:off x="66675" y="2886075"/>
          <a:ext cx="10287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8686348-D83C-4EB3-85F0-01401899095E}"/>
            </a:ext>
          </a:extLst>
        </xdr:cNvPr>
        <xdr:cNvSpPr txBox="1">
          <a:spLocks noChangeArrowheads="1"/>
        </xdr:cNvSpPr>
      </xdr:nvSpPr>
      <xdr:spPr>
        <a:xfrm>
          <a:off x="866775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76CEB6D-7845-43B9-BFD0-D997797835B6}"/>
            </a:ext>
          </a:extLst>
        </xdr:cNvPr>
        <xdr:cNvSpPr txBox="1">
          <a:spLocks noChangeArrowheads="1"/>
        </xdr:cNvSpPr>
      </xdr:nvSpPr>
      <xdr:spPr>
        <a:xfrm>
          <a:off x="1066800" y="2886075"/>
          <a:ext cx="8286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7BBB110-45ED-424B-A37A-0A8DACFFAAF0}"/>
            </a:ext>
          </a:extLst>
        </xdr:cNvPr>
        <xdr:cNvSpPr txBox="1">
          <a:spLocks noChangeArrowheads="1"/>
        </xdr:cNvSpPr>
      </xdr:nvSpPr>
      <xdr:spPr>
        <a:xfrm>
          <a:off x="0" y="288607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5DFCD3E-A22E-4A84-97DE-B7E53CBCB8BD}"/>
            </a:ext>
          </a:extLst>
        </xdr:cNvPr>
        <xdr:cNvSpPr txBox="1">
          <a:spLocks noChangeArrowheads="1"/>
        </xdr:cNvSpPr>
      </xdr:nvSpPr>
      <xdr:spPr>
        <a:xfrm>
          <a:off x="0" y="288607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DF41364-D9FD-4F9F-8FF7-B41C80696AC8}"/>
            </a:ext>
          </a:extLst>
        </xdr:cNvPr>
        <xdr:cNvSpPr txBox="1">
          <a:spLocks noChangeArrowheads="1"/>
        </xdr:cNvSpPr>
      </xdr:nvSpPr>
      <xdr:spPr>
        <a:xfrm>
          <a:off x="28575" y="288607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7713729-F35F-4579-8F5F-A7C3EDD7376A}"/>
            </a:ext>
          </a:extLst>
        </xdr:cNvPr>
        <xdr:cNvSpPr txBox="1">
          <a:spLocks noChangeArrowheads="1"/>
        </xdr:cNvSpPr>
      </xdr:nvSpPr>
      <xdr:spPr>
        <a:xfrm>
          <a:off x="2114550" y="288607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04B183B-8B4A-4B74-B4D3-9E6A99CD6C71}"/>
            </a:ext>
          </a:extLst>
        </xdr:cNvPr>
        <xdr:cNvSpPr txBox="1">
          <a:spLocks noChangeArrowheads="1"/>
        </xdr:cNvSpPr>
      </xdr:nvSpPr>
      <xdr:spPr>
        <a:xfrm>
          <a:off x="5114925" y="2886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02A4D75-72E7-48FC-8C16-8F1CB58543F5}"/>
            </a:ext>
          </a:extLst>
        </xdr:cNvPr>
        <xdr:cNvSpPr txBox="1">
          <a:spLocks noChangeArrowheads="1"/>
        </xdr:cNvSpPr>
      </xdr:nvSpPr>
      <xdr:spPr>
        <a:xfrm>
          <a:off x="5114925" y="2886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0089F1A-811A-48BF-B67A-5BC95DB9331F}"/>
            </a:ext>
          </a:extLst>
        </xdr:cNvPr>
        <xdr:cNvSpPr txBox="1">
          <a:spLocks noChangeArrowheads="1"/>
        </xdr:cNvSpPr>
      </xdr:nvSpPr>
      <xdr:spPr>
        <a:xfrm>
          <a:off x="1676400" y="2886075"/>
          <a:ext cx="34385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778A381-F12A-49A6-A7A0-F42FA4DE2A08}"/>
            </a:ext>
          </a:extLst>
        </xdr:cNvPr>
        <xdr:cNvSpPr txBox="1">
          <a:spLocks noChangeArrowheads="1"/>
        </xdr:cNvSpPr>
      </xdr:nvSpPr>
      <xdr:spPr>
        <a:xfrm>
          <a:off x="847725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3CFC2B3-8D2B-448C-BA6C-1DE4006E365F}"/>
            </a:ext>
          </a:extLst>
        </xdr:cNvPr>
        <xdr:cNvSpPr txBox="1">
          <a:spLocks noChangeArrowheads="1"/>
        </xdr:cNvSpPr>
      </xdr:nvSpPr>
      <xdr:spPr>
        <a:xfrm>
          <a:off x="1981200" y="288607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94F5222C-F218-4FB6-8F0C-9BAA1BBE7E9E}"/>
            </a:ext>
          </a:extLst>
        </xdr:cNvPr>
        <xdr:cNvSpPr txBox="1">
          <a:spLocks noChangeArrowheads="1"/>
        </xdr:cNvSpPr>
      </xdr:nvSpPr>
      <xdr:spPr>
        <a:xfrm>
          <a:off x="895350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B749092-6944-4655-9FC7-9BA1D594266F}"/>
            </a:ext>
          </a:extLst>
        </xdr:cNvPr>
        <xdr:cNvSpPr txBox="1">
          <a:spLocks noChangeArrowheads="1"/>
        </xdr:cNvSpPr>
      </xdr:nvSpPr>
      <xdr:spPr>
        <a:xfrm>
          <a:off x="2105025" y="288607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36663E2-13EB-45DC-8648-A9F2B6241462}"/>
            </a:ext>
          </a:extLst>
        </xdr:cNvPr>
        <xdr:cNvSpPr txBox="1">
          <a:spLocks noChangeArrowheads="1"/>
        </xdr:cNvSpPr>
      </xdr:nvSpPr>
      <xdr:spPr>
        <a:xfrm>
          <a:off x="800100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6ED10A4-702A-4EC0-8996-F3FE68937E0F}"/>
            </a:ext>
          </a:extLst>
        </xdr:cNvPr>
        <xdr:cNvSpPr txBox="1">
          <a:spLocks noChangeArrowheads="1"/>
        </xdr:cNvSpPr>
      </xdr:nvSpPr>
      <xdr:spPr>
        <a:xfrm>
          <a:off x="1943100" y="288607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D3D332F9-C03C-46C1-AEFF-C7F028FF1947}"/>
            </a:ext>
          </a:extLst>
        </xdr:cNvPr>
        <xdr:cNvSpPr txBox="1">
          <a:spLocks noChangeArrowheads="1"/>
        </xdr:cNvSpPr>
      </xdr:nvSpPr>
      <xdr:spPr>
        <a:xfrm>
          <a:off x="2066925" y="288607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AF7B0DA9-2E92-44C6-8CAA-98D38C36C190}"/>
            </a:ext>
          </a:extLst>
        </xdr:cNvPr>
        <xdr:cNvSpPr txBox="1">
          <a:spLocks noChangeArrowheads="1"/>
        </xdr:cNvSpPr>
      </xdr:nvSpPr>
      <xdr:spPr>
        <a:xfrm>
          <a:off x="635" y="842645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9D3122E-668A-43A5-BF22-6825CB27E27C}"/>
            </a:ext>
          </a:extLst>
        </xdr:cNvPr>
        <xdr:cNvSpPr txBox="1">
          <a:spLocks noChangeArrowheads="1"/>
        </xdr:cNvSpPr>
      </xdr:nvSpPr>
      <xdr:spPr>
        <a:xfrm>
          <a:off x="3000375" y="838200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216D64D-9221-45E7-8260-7869D5189F9F}"/>
            </a:ext>
          </a:extLst>
        </xdr:cNvPr>
        <xdr:cNvSpPr>
          <a:spLocks noChangeShapeType="1"/>
        </xdr:cNvSpPr>
      </xdr:nvSpPr>
      <xdr:spPr>
        <a:xfrm flipV="1">
          <a:off x="3952875" y="861060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6546BBDC-C97B-4AD1-8BA3-91129E51B0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4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6BF17BCF-A1CC-4D84-8C13-B426083FE8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5" name="Line 21">
          <a:extLst>
            <a:ext uri="{FF2B5EF4-FFF2-40B4-BE49-F238E27FC236}">
              <a16:creationId xmlns:a16="http://schemas.microsoft.com/office/drawing/2014/main" id="{619E6B44-1A44-49F3-AD2D-3BCEAE9E9CD8}"/>
            </a:ext>
          </a:extLst>
        </xdr:cNvPr>
        <xdr:cNvSpPr>
          <a:spLocks noChangeShapeType="1"/>
        </xdr:cNvSpPr>
      </xdr:nvSpPr>
      <xdr:spPr>
        <a:xfrm flipV="1">
          <a:off x="96520" y="865187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8CB9EA45-8CE0-4D0D-9B7D-557ED6D4E672}"/>
            </a:ext>
          </a:extLst>
        </xdr:cNvPr>
        <xdr:cNvSpPr txBox="1">
          <a:spLocks noChangeArrowheads="1"/>
        </xdr:cNvSpPr>
      </xdr:nvSpPr>
      <xdr:spPr>
        <a:xfrm>
          <a:off x="0" y="9348557"/>
          <a:ext cx="2876550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F110625C-DFAA-4A21-8750-C99A8A539B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809750" y="123825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88A46F9B-DD72-4A13-9FF4-671B0C6960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F35D32F8-DE41-439A-8687-CCA92EF9F0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9534E49A-0451-48FC-8F54-F679243E61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33" t="s">
        <v>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4"/>
      <c r="P9" s="5"/>
    </row>
    <row r="10" spans="1:16" ht="15">
      <c r="A10" s="236" t="s">
        <v>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9" t="s">
        <v>2</v>
      </c>
      <c r="N11" s="240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1" t="s">
        <v>5</v>
      </c>
      <c r="N12" s="242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130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43" t="s">
        <v>10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5"/>
      <c r="L17" s="246" t="s">
        <v>11</v>
      </c>
      <c r="M17" s="246"/>
      <c r="N17" s="247"/>
      <c r="P17" s="5"/>
    </row>
    <row r="18" spans="1:22">
      <c r="A18" s="228" t="s">
        <v>12</v>
      </c>
      <c r="B18" s="229"/>
      <c r="C18" s="228"/>
      <c r="D18" s="228"/>
      <c r="E18" s="228"/>
      <c r="F18" s="228"/>
      <c r="G18" s="228"/>
      <c r="H18" s="228"/>
      <c r="I18" s="230" t="s">
        <v>13</v>
      </c>
      <c r="J18" s="231"/>
      <c r="K18" s="232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115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121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122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118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119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132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125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120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124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133</v>
      </c>
      <c r="L46" s="194" t="s">
        <v>134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135</v>
      </c>
      <c r="L55" s="153" t="s">
        <v>136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127</v>
      </c>
      <c r="L56" s="153" t="s">
        <v>128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129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137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138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876FD-B399-4C04-B8EB-6C347FE0E29E}">
  <dimension ref="A1:N39"/>
  <sheetViews>
    <sheetView topLeftCell="B4" zoomScaleNormal="100" workbookViewId="0">
      <selection activeCell="I25" sqref="I25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59" t="s">
        <v>84</v>
      </c>
      <c r="C9" s="259"/>
      <c r="D9" s="259"/>
      <c r="E9" s="259"/>
      <c r="F9" s="259"/>
    </row>
    <row r="10" spans="1:14" ht="19.5" customHeight="1">
      <c r="B10" s="259" t="s">
        <v>85</v>
      </c>
      <c r="C10" s="259"/>
      <c r="D10" s="259"/>
      <c r="E10" s="259"/>
      <c r="F10" s="259"/>
    </row>
    <row r="11" spans="1:14" ht="18.75" customHeight="1">
      <c r="A11" t="s">
        <v>86</v>
      </c>
      <c r="B11" s="260" t="s">
        <v>178</v>
      </c>
      <c r="C11" s="260"/>
      <c r="D11" s="260"/>
      <c r="E11" s="260"/>
      <c r="F11" s="260"/>
    </row>
    <row r="14" spans="1:14" ht="15.75">
      <c r="B14" s="2" t="s">
        <v>87</v>
      </c>
      <c r="C14" s="51"/>
      <c r="D14" s="51"/>
      <c r="E14" s="51"/>
      <c r="F14" s="52">
        <v>23755580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f>+'INGRESOS NOV'!F24</f>
        <v>10054534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33810114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.75" thickBot="1">
      <c r="B20" s="51" t="s">
        <v>90</v>
      </c>
      <c r="C20" s="51"/>
      <c r="D20" s="51"/>
      <c r="E20" s="51"/>
      <c r="F20" s="55">
        <f>+'EJEC.NOV. (2)'!M63</f>
        <v>7668443.3399999989</v>
      </c>
      <c r="I20" s="191"/>
    </row>
    <row r="21" spans="2:14" ht="15">
      <c r="B21" s="51"/>
      <c r="C21" s="51"/>
      <c r="D21" s="51"/>
      <c r="E21" s="51"/>
      <c r="F21" s="53" t="s">
        <v>142</v>
      </c>
      <c r="J21" s="191"/>
    </row>
    <row r="22" spans="2:14" ht="15.75">
      <c r="B22" s="2" t="s">
        <v>91</v>
      </c>
      <c r="C22" s="51"/>
      <c r="D22" s="51"/>
      <c r="E22" s="51"/>
      <c r="F22" s="56">
        <f>+F18-F20</f>
        <v>26141670.66</v>
      </c>
      <c r="I22" s="199"/>
    </row>
    <row r="23" spans="2:14">
      <c r="J23" s="191"/>
    </row>
    <row r="24" spans="2:14">
      <c r="K24" s="191"/>
    </row>
    <row r="25" spans="2:14">
      <c r="I25" s="50"/>
      <c r="N25" s="3"/>
    </row>
    <row r="26" spans="2:14" ht="15">
      <c r="B26" s="51" t="s">
        <v>92</v>
      </c>
      <c r="C26" s="51"/>
      <c r="D26" s="51"/>
      <c r="E26" s="51"/>
      <c r="F26" s="57">
        <f>+F14</f>
        <v>23755580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.75" thickBot="1">
      <c r="B28" s="51" t="s">
        <v>93</v>
      </c>
      <c r="C28" s="51"/>
      <c r="D28" s="51"/>
      <c r="E28" s="51"/>
      <c r="F28" s="55">
        <f>+F22</f>
        <v>26141670.66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211</v>
      </c>
      <c r="C30" s="51"/>
      <c r="D30" s="51"/>
      <c r="E30" s="51"/>
      <c r="F30" s="204">
        <f>+F26-F28</f>
        <v>-2386090.66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C080-11FC-4F11-8512-20DF511DAD68}">
  <dimension ref="A1:M53"/>
  <sheetViews>
    <sheetView topLeftCell="A24" zoomScaleNormal="100" zoomScaleSheetLayoutView="100" workbookViewId="0">
      <selection activeCell="I30" sqref="I30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23.28515625" customWidth="1"/>
  </cols>
  <sheetData>
    <row r="1" spans="1:13">
      <c r="L1" s="3"/>
      <c r="M1" s="3"/>
    </row>
    <row r="2" spans="1:13">
      <c r="L2" s="3"/>
      <c r="M2" s="3"/>
    </row>
    <row r="3" spans="1:13">
      <c r="L3" s="3"/>
      <c r="M3" s="3"/>
    </row>
    <row r="4" spans="1:13">
      <c r="L4" s="3"/>
      <c r="M4" s="3"/>
    </row>
    <row r="5" spans="1:13">
      <c r="L5" s="3"/>
      <c r="M5" s="3"/>
    </row>
    <row r="8" spans="1:13" ht="16.5" thickBot="1">
      <c r="D8" s="2"/>
      <c r="F8" s="3"/>
    </row>
    <row r="9" spans="1:13">
      <c r="A9" s="233" t="s">
        <v>0</v>
      </c>
      <c r="B9" s="234"/>
      <c r="C9" s="234"/>
      <c r="D9" s="234"/>
      <c r="E9" s="234"/>
      <c r="F9" s="235"/>
    </row>
    <row r="10" spans="1:13" ht="18">
      <c r="A10" s="261" t="s">
        <v>94</v>
      </c>
      <c r="B10" s="259"/>
      <c r="C10" s="259"/>
      <c r="D10" s="259"/>
      <c r="E10" s="259"/>
      <c r="F10" s="262"/>
    </row>
    <row r="11" spans="1:13">
      <c r="A11" s="5"/>
      <c r="D11" s="6"/>
      <c r="E11" s="263"/>
      <c r="F11" s="264"/>
    </row>
    <row r="12" spans="1:13">
      <c r="A12" s="5"/>
      <c r="F12" s="7"/>
    </row>
    <row r="13" spans="1:13">
      <c r="A13" s="8"/>
      <c r="B13" s="9"/>
      <c r="C13" s="9"/>
      <c r="E13" s="9"/>
      <c r="F13" s="10"/>
    </row>
    <row r="14" spans="1:13">
      <c r="A14" s="11" t="s">
        <v>117</v>
      </c>
      <c r="E14" s="265" t="s">
        <v>5</v>
      </c>
      <c r="F14" s="266"/>
    </row>
    <row r="15" spans="1:13">
      <c r="A15" s="11" t="s">
        <v>116</v>
      </c>
      <c r="E15" s="12" t="s">
        <v>7</v>
      </c>
      <c r="F15" s="13"/>
    </row>
    <row r="16" spans="1:13" ht="14.25" customHeight="1">
      <c r="A16" s="190" t="s">
        <v>179</v>
      </c>
      <c r="B16" s="14"/>
      <c r="C16" s="15"/>
      <c r="E16" s="12" t="s">
        <v>8</v>
      </c>
      <c r="F16" s="13"/>
    </row>
    <row r="17" spans="1:6">
      <c r="A17" s="11" t="s">
        <v>139</v>
      </c>
      <c r="E17" s="16" t="s">
        <v>9</v>
      </c>
      <c r="F17" s="17"/>
    </row>
    <row r="18" spans="1:6" ht="13.5" thickBot="1">
      <c r="A18" s="18"/>
      <c r="B18" s="19"/>
      <c r="C18" s="20"/>
      <c r="D18" s="20">
        <v>1</v>
      </c>
      <c r="E18" s="20"/>
      <c r="F18" s="21"/>
    </row>
    <row r="19" spans="1:6" ht="13.5" thickBot="1">
      <c r="F19" s="3"/>
    </row>
    <row r="20" spans="1:6" ht="15.75">
      <c r="A20" s="268" t="s">
        <v>95</v>
      </c>
      <c r="B20" s="268"/>
      <c r="C20" s="268"/>
      <c r="D20" s="268" t="s">
        <v>96</v>
      </c>
      <c r="E20" s="22"/>
      <c r="F20" s="271" t="s">
        <v>97</v>
      </c>
    </row>
    <row r="21" spans="1:6" ht="15.75">
      <c r="A21" s="269"/>
      <c r="B21" s="269"/>
      <c r="C21" s="269"/>
      <c r="D21" s="269"/>
      <c r="E21" s="23" t="s">
        <v>98</v>
      </c>
      <c r="F21" s="272"/>
    </row>
    <row r="22" spans="1:6" ht="15.75">
      <c r="A22" s="267" t="s">
        <v>12</v>
      </c>
      <c r="B22" s="267"/>
      <c r="C22" s="267"/>
      <c r="D22" s="270"/>
      <c r="E22" s="23"/>
      <c r="F22" s="24" t="s">
        <v>99</v>
      </c>
    </row>
    <row r="23" spans="1:6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6" ht="18.75">
      <c r="A24" s="30">
        <v>1</v>
      </c>
      <c r="B24" s="31"/>
      <c r="C24" s="32"/>
      <c r="D24" s="33" t="s">
        <v>102</v>
      </c>
      <c r="E24" s="34"/>
      <c r="F24" s="207">
        <f>SUM(F26+F27)</f>
        <v>10054534</v>
      </c>
    </row>
    <row r="25" spans="1:6" ht="18.75">
      <c r="A25" s="30"/>
      <c r="B25" s="36">
        <v>1</v>
      </c>
      <c r="C25" s="37"/>
      <c r="D25" s="38" t="s">
        <v>103</v>
      </c>
      <c r="E25" s="39"/>
      <c r="F25" s="202">
        <f>SUM(F26+F27)</f>
        <v>10054534</v>
      </c>
    </row>
    <row r="26" spans="1:6" ht="18.75">
      <c r="A26" s="30"/>
      <c r="B26" s="40"/>
      <c r="C26" s="37">
        <v>61</v>
      </c>
      <c r="D26" s="38" t="s">
        <v>104</v>
      </c>
      <c r="E26" s="39">
        <v>9992</v>
      </c>
      <c r="F26" s="41">
        <v>3577084</v>
      </c>
    </row>
    <row r="27" spans="1:6" ht="18.75">
      <c r="A27" s="30"/>
      <c r="B27" s="40"/>
      <c r="C27" s="37">
        <v>62</v>
      </c>
      <c r="D27" s="38" t="s">
        <v>105</v>
      </c>
      <c r="E27" s="39">
        <v>9992</v>
      </c>
      <c r="F27" s="41">
        <v>6477450</v>
      </c>
    </row>
    <row r="28" spans="1:6" ht="18.75">
      <c r="A28" s="30">
        <v>1</v>
      </c>
      <c r="B28" s="40"/>
      <c r="C28" s="37"/>
      <c r="D28" s="33" t="s">
        <v>106</v>
      </c>
      <c r="E28" s="39"/>
      <c r="F28" s="35"/>
    </row>
    <row r="29" spans="1:6" ht="18.75">
      <c r="A29" s="30"/>
      <c r="B29" s="40">
        <v>1</v>
      </c>
      <c r="C29" s="37"/>
      <c r="D29" s="38" t="s">
        <v>107</v>
      </c>
      <c r="E29" s="39"/>
      <c r="F29" s="41"/>
    </row>
    <row r="30" spans="1:6" ht="18.75">
      <c r="A30" s="30"/>
      <c r="B30" s="40"/>
      <c r="C30" s="37">
        <v>9</v>
      </c>
      <c r="D30" s="38" t="s">
        <v>106</v>
      </c>
      <c r="E30" s="39"/>
      <c r="F30" s="41"/>
    </row>
    <row r="31" spans="1:6" ht="18.75">
      <c r="A31" s="30"/>
      <c r="B31" s="40"/>
      <c r="C31" s="37"/>
      <c r="D31" s="38" t="s">
        <v>108</v>
      </c>
      <c r="E31" s="39">
        <v>9998</v>
      </c>
      <c r="F31" s="42"/>
    </row>
    <row r="32" spans="1:6" ht="18.75">
      <c r="A32" s="30"/>
      <c r="B32" s="40"/>
      <c r="C32" s="37"/>
      <c r="D32" s="38" t="s">
        <v>108</v>
      </c>
      <c r="E32" s="39"/>
      <c r="F32" s="43"/>
    </row>
    <row r="33" spans="1:6" ht="18.75">
      <c r="A33" s="30"/>
      <c r="B33" s="40"/>
      <c r="C33" s="37"/>
      <c r="D33" s="38" t="s">
        <v>109</v>
      </c>
      <c r="E33" s="39"/>
      <c r="F33" s="43"/>
    </row>
    <row r="34" spans="1:6" ht="18.75">
      <c r="A34" s="30"/>
      <c r="B34" s="40"/>
      <c r="C34" s="37"/>
      <c r="D34" s="38" t="s">
        <v>110</v>
      </c>
      <c r="E34" s="39"/>
      <c r="F34" s="43"/>
    </row>
    <row r="35" spans="1:6" ht="18.75">
      <c r="A35" s="30">
        <v>3</v>
      </c>
      <c r="B35" s="40"/>
      <c r="C35" s="37"/>
      <c r="D35" s="38" t="s">
        <v>209</v>
      </c>
      <c r="E35" s="39"/>
      <c r="F35" s="35">
        <v>0</v>
      </c>
    </row>
    <row r="36" spans="1:6" ht="18.75">
      <c r="A36" s="30"/>
      <c r="B36" s="40">
        <v>11</v>
      </c>
      <c r="C36" s="37">
        <v>11</v>
      </c>
      <c r="D36" s="38" t="s">
        <v>210</v>
      </c>
      <c r="E36" s="39"/>
      <c r="F36" s="41">
        <f>+F35</f>
        <v>0</v>
      </c>
    </row>
    <row r="37" spans="1:6" ht="18.75">
      <c r="A37" s="30">
        <v>3</v>
      </c>
      <c r="B37" s="40"/>
      <c r="C37" s="37"/>
      <c r="D37" s="33" t="s">
        <v>112</v>
      </c>
      <c r="E37" s="44"/>
      <c r="F37" s="35"/>
    </row>
    <row r="38" spans="1:6" ht="18.75">
      <c r="A38" s="30"/>
      <c r="B38" s="40">
        <v>12</v>
      </c>
      <c r="C38" s="37"/>
      <c r="D38" s="38" t="s">
        <v>113</v>
      </c>
      <c r="E38" s="44"/>
      <c r="F38" s="35"/>
    </row>
    <row r="39" spans="1:6" ht="19.5" thickBot="1">
      <c r="A39" s="30"/>
      <c r="B39" s="40"/>
      <c r="C39" s="37">
        <v>11</v>
      </c>
      <c r="D39" s="38" t="s">
        <v>114</v>
      </c>
      <c r="E39" s="44"/>
      <c r="F39" s="35"/>
    </row>
    <row r="40" spans="1:6" ht="19.5" thickBot="1">
      <c r="A40" s="45"/>
      <c r="B40" s="46"/>
      <c r="C40" s="46"/>
      <c r="D40" s="47" t="s">
        <v>66</v>
      </c>
      <c r="E40" s="48"/>
      <c r="F40" s="49">
        <f>SUM(F24+F35)</f>
        <v>10054534</v>
      </c>
    </row>
    <row r="47" spans="1:6" ht="71.25" customHeight="1">
      <c r="B47" s="161"/>
      <c r="C47" s="158"/>
      <c r="D47" s="166"/>
    </row>
    <row r="48" spans="1:6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0:C21"/>
    <mergeCell ref="D20:D22"/>
    <mergeCell ref="F20:F21"/>
    <mergeCell ref="A22:C22"/>
  </mergeCells>
  <pageMargins left="0.88" right="0.51" top="0.28999999999999998" bottom="0.5" header="0" footer="0.5"/>
  <pageSetup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6DC3-381E-4C34-BCAF-5F29E9278B04}">
  <dimension ref="A1:N39"/>
  <sheetViews>
    <sheetView tabSelected="1" zoomScaleNormal="100" zoomScaleSheetLayoutView="100" workbookViewId="0">
      <selection activeCell="F26" sqref="F26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5" t="s">
        <v>75</v>
      </c>
      <c r="B9" s="255"/>
      <c r="C9" s="255"/>
      <c r="D9" s="255"/>
      <c r="E9" s="255"/>
      <c r="F9" s="256"/>
      <c r="G9" s="256"/>
    </row>
    <row r="10" spans="1:14" ht="15.75">
      <c r="A10" s="257" t="s">
        <v>76</v>
      </c>
      <c r="B10" s="257"/>
      <c r="C10" s="257"/>
      <c r="D10" s="257"/>
      <c r="E10" s="257"/>
    </row>
    <row r="11" spans="1:14" ht="15.75" customHeight="1">
      <c r="A11" s="258" t="s">
        <v>208</v>
      </c>
      <c r="B11" s="258"/>
      <c r="C11" s="258"/>
      <c r="D11" s="258"/>
      <c r="E11" s="258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.75" thickBot="1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.75" thickBot="1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.75" thickBot="1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144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81:I84"/>
  <sheetViews>
    <sheetView topLeftCell="A64" workbookViewId="0">
      <selection activeCell="H85" sqref="H85"/>
    </sheetView>
  </sheetViews>
  <sheetFormatPr baseColWidth="10" defaultColWidth="11.42578125" defaultRowHeight="12.75"/>
  <sheetData>
    <row r="81" spans="8:9">
      <c r="H81" t="s">
        <v>180</v>
      </c>
      <c r="I81" t="s">
        <v>181</v>
      </c>
    </row>
    <row r="82" spans="8:9">
      <c r="H82" t="s">
        <v>182</v>
      </c>
      <c r="I82" t="s">
        <v>183</v>
      </c>
    </row>
    <row r="83" spans="8:9">
      <c r="H83" t="s">
        <v>184</v>
      </c>
      <c r="I83" t="s">
        <v>186</v>
      </c>
    </row>
    <row r="84" spans="8:9">
      <c r="H84" t="s">
        <v>185</v>
      </c>
      <c r="I84" t="str">
        <f>+I83</f>
        <v>VIATICOS DENTRO DEL PAIS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E119"/>
  <sheetViews>
    <sheetView topLeftCell="A23" zoomScaleNormal="100" zoomScaleSheetLayoutView="100" workbookViewId="0">
      <selection activeCell="Y41" sqref="Y41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  <col min="27" max="27" width="12.85546875" bestFit="1" customWidth="1"/>
    <col min="29" max="29" width="12.85546875" bestFit="1" customWidth="1"/>
  </cols>
  <sheetData>
    <row r="8" spans="1:16" ht="13.5" thickBot="1"/>
    <row r="9" spans="1:16">
      <c r="A9" s="248" t="s">
        <v>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49"/>
      <c r="O9" s="4"/>
      <c r="P9" s="5"/>
    </row>
    <row r="10" spans="1:16" ht="15">
      <c r="A10" s="250" t="s">
        <v>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51"/>
      <c r="O10" s="94"/>
      <c r="P10" s="5"/>
    </row>
    <row r="11" spans="1:16" ht="15">
      <c r="A11" s="219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9" t="s">
        <v>2</v>
      </c>
      <c r="N11" s="252"/>
      <c r="O11" s="94"/>
      <c r="P11" s="5"/>
    </row>
    <row r="12" spans="1:16" ht="15">
      <c r="A12" s="220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1" t="s">
        <v>5</v>
      </c>
      <c r="N12" s="253"/>
      <c r="O12" s="97"/>
      <c r="P12" s="5"/>
    </row>
    <row r="13" spans="1:16" ht="15">
      <c r="A13" s="220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4"/>
      <c r="O13" s="96"/>
      <c r="P13" s="5"/>
    </row>
    <row r="14" spans="1:16" ht="15">
      <c r="A14" s="220" t="s">
        <v>155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4"/>
      <c r="O14" s="96"/>
      <c r="P14" s="5"/>
    </row>
    <row r="15" spans="1:16" ht="15">
      <c r="A15" s="220" t="s">
        <v>139</v>
      </c>
      <c r="B15" s="77"/>
      <c r="C15" s="77"/>
      <c r="D15" s="77"/>
      <c r="M15" s="98" t="s">
        <v>9</v>
      </c>
      <c r="N15" s="214"/>
      <c r="O15" s="99"/>
      <c r="P15" s="5"/>
    </row>
    <row r="16" spans="1:16">
      <c r="A16" s="243" t="s">
        <v>10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5"/>
      <c r="L16" s="246" t="s">
        <v>11</v>
      </c>
      <c r="M16" s="246"/>
      <c r="N16" s="254"/>
      <c r="P16" s="5"/>
    </row>
    <row r="17" spans="1:21">
      <c r="A17" s="228" t="s">
        <v>12</v>
      </c>
      <c r="B17" s="229"/>
      <c r="C17" s="228"/>
      <c r="D17" s="228"/>
      <c r="E17" s="228"/>
      <c r="F17" s="228"/>
      <c r="G17" s="228"/>
      <c r="H17" s="228"/>
      <c r="I17" s="230" t="s">
        <v>13</v>
      </c>
      <c r="J17" s="231"/>
      <c r="K17" s="232"/>
      <c r="L17" s="103" t="s">
        <v>14</v>
      </c>
      <c r="M17" s="104" t="s">
        <v>15</v>
      </c>
      <c r="N17" s="215" t="s">
        <v>16</v>
      </c>
      <c r="P17" s="5"/>
    </row>
    <row r="18" spans="1:21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6" t="s">
        <v>29</v>
      </c>
    </row>
    <row r="19" spans="1:21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7"/>
    </row>
    <row r="20" spans="1:21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3327771</v>
      </c>
      <c r="N20" s="115">
        <f>SUM(N21+N24+N26)</f>
        <v>3327771</v>
      </c>
      <c r="O20" s="213" t="e">
        <f>+#REF!+#REF!+#REF!+#REF!+#REF!</f>
        <v>#REF!</v>
      </c>
    </row>
    <row r="21" spans="1:21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SUM(M22+M23)</f>
        <v>2743050</v>
      </c>
      <c r="N21" s="120">
        <f>SUM(N22+N23)</f>
        <v>2743050</v>
      </c>
      <c r="Q21" s="50"/>
    </row>
    <row r="22" spans="1:21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2013050</v>
      </c>
      <c r="N22" s="122">
        <v>2013050</v>
      </c>
    </row>
    <row r="23" spans="1:21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f>+M23</f>
        <v>730000</v>
      </c>
      <c r="P23" s="124"/>
      <c r="T23" s="3"/>
    </row>
    <row r="24" spans="1:21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169600</v>
      </c>
      <c r="N24" s="125">
        <v>169600</v>
      </c>
      <c r="R24">
        <f>5000-4130</f>
        <v>870</v>
      </c>
    </row>
    <row r="25" spans="1:21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169600</v>
      </c>
      <c r="N25" s="122">
        <f>+M25</f>
        <v>169600</v>
      </c>
      <c r="R25" s="3"/>
      <c r="S25" s="3">
        <v>53000</v>
      </c>
      <c r="U25">
        <v>17127.55</v>
      </c>
    </row>
    <row r="26" spans="1:21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415121</v>
      </c>
      <c r="N26" s="218">
        <f>SUM(N27+N28+N29)</f>
        <v>415121</v>
      </c>
      <c r="Q26" s="132"/>
      <c r="S26" s="3">
        <v>2704850</v>
      </c>
    </row>
    <row r="27" spans="1:21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193562</v>
      </c>
      <c r="N27" s="123">
        <f>+M27</f>
        <v>193562</v>
      </c>
      <c r="Q27" s="59"/>
      <c r="S27" s="50"/>
    </row>
    <row r="28" spans="1:21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194757</v>
      </c>
      <c r="N28" s="170">
        <f>+M28</f>
        <v>194757</v>
      </c>
      <c r="S28" s="50" t="e">
        <f>+S26-#REF!</f>
        <v>#REF!</v>
      </c>
    </row>
    <row r="29" spans="1:21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26802</v>
      </c>
      <c r="N29" s="122">
        <f>+M29</f>
        <v>26802</v>
      </c>
      <c r="Q29" s="3"/>
    </row>
    <row r="30" spans="1:21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140</v>
      </c>
      <c r="M30" s="129">
        <f>SUM(M31+M36+M38+M40+M42+M44)</f>
        <v>6342892</v>
      </c>
      <c r="N30" s="129">
        <f>SUM(N31+N36+N40+N42+N44+N38)</f>
        <v>6118599</v>
      </c>
    </row>
    <row r="31" spans="1:21">
      <c r="A31" s="90"/>
      <c r="B31" s="91"/>
      <c r="C31" s="92"/>
      <c r="D31" s="93"/>
      <c r="E31" s="91"/>
      <c r="F31" s="91"/>
      <c r="H31" s="92"/>
      <c r="I31" s="91"/>
      <c r="J31" s="91">
        <v>2.1</v>
      </c>
      <c r="K31" s="91"/>
      <c r="L31" s="118" t="s">
        <v>141</v>
      </c>
      <c r="M31" s="129">
        <f>SUM(M32+M33+M35+M34)</f>
        <v>198904</v>
      </c>
      <c r="N31" s="129">
        <f>SUM(N32+N33+N35+N34)</f>
        <v>195580</v>
      </c>
    </row>
    <row r="32" spans="1:21">
      <c r="A32" s="90"/>
      <c r="B32" s="91"/>
      <c r="C32" s="92"/>
      <c r="D32" s="93"/>
      <c r="E32" s="91"/>
      <c r="F32" s="91"/>
      <c r="H32" s="92"/>
      <c r="I32" s="91"/>
      <c r="J32" s="91"/>
      <c r="K32" s="195" t="s">
        <v>149</v>
      </c>
      <c r="L32" s="273" t="s">
        <v>145</v>
      </c>
      <c r="M32" s="274">
        <v>128756</v>
      </c>
      <c r="N32" s="274">
        <v>128756</v>
      </c>
    </row>
    <row r="33" spans="1:31">
      <c r="A33" s="90"/>
      <c r="B33" s="91"/>
      <c r="C33" s="92"/>
      <c r="D33" s="93"/>
      <c r="E33" s="91"/>
      <c r="F33" s="91"/>
      <c r="H33" s="92"/>
      <c r="I33" s="91"/>
      <c r="J33" s="91"/>
      <c r="K33" s="195" t="s">
        <v>148</v>
      </c>
      <c r="L33" s="273" t="s">
        <v>146</v>
      </c>
      <c r="M33" s="274">
        <v>66496</v>
      </c>
      <c r="N33" s="274">
        <v>63172</v>
      </c>
    </row>
    <row r="34" spans="1:31">
      <c r="A34" s="90"/>
      <c r="B34" s="91"/>
      <c r="C34" s="92"/>
      <c r="D34" s="93"/>
      <c r="E34" s="91"/>
      <c r="F34" s="91"/>
      <c r="H34" s="92"/>
      <c r="I34" s="91"/>
      <c r="J34" s="91"/>
      <c r="K34" s="195" t="s">
        <v>159</v>
      </c>
      <c r="L34" s="273" t="s">
        <v>132</v>
      </c>
      <c r="M34" s="274">
        <v>756</v>
      </c>
      <c r="N34" s="274">
        <v>756</v>
      </c>
    </row>
    <row r="35" spans="1:31">
      <c r="A35" s="90"/>
      <c r="B35" s="91"/>
      <c r="C35" s="92"/>
      <c r="D35" s="93"/>
      <c r="E35" s="91"/>
      <c r="F35" s="91"/>
      <c r="H35" s="92"/>
      <c r="I35" s="91"/>
      <c r="J35" s="91"/>
      <c r="K35" s="91" t="s">
        <v>143</v>
      </c>
      <c r="L35" s="273" t="s">
        <v>125</v>
      </c>
      <c r="M35" s="274">
        <v>2896</v>
      </c>
      <c r="N35" s="274">
        <v>2896</v>
      </c>
    </row>
    <row r="36" spans="1:31">
      <c r="A36" s="90"/>
      <c r="B36" s="91"/>
      <c r="C36" s="92"/>
      <c r="D36" s="93"/>
      <c r="E36" s="91"/>
      <c r="F36" s="91"/>
      <c r="H36" s="92"/>
      <c r="I36" s="91"/>
      <c r="J36" s="91">
        <v>2.4</v>
      </c>
      <c r="K36" s="91"/>
      <c r="L36" s="126" t="s">
        <v>156</v>
      </c>
      <c r="M36" s="129">
        <v>5178404</v>
      </c>
      <c r="N36" s="129">
        <v>5008196</v>
      </c>
      <c r="AA36" s="3"/>
    </row>
    <row r="37" spans="1:31">
      <c r="A37" s="90"/>
      <c r="B37" s="91"/>
      <c r="C37" s="92"/>
      <c r="D37" s="93"/>
      <c r="E37" s="91"/>
      <c r="F37" s="91"/>
      <c r="H37" s="92"/>
      <c r="I37" s="91"/>
      <c r="J37" s="91"/>
      <c r="K37" s="195" t="s">
        <v>157</v>
      </c>
      <c r="L37" s="275" t="s">
        <v>158</v>
      </c>
      <c r="M37" s="274">
        <v>5178404</v>
      </c>
      <c r="N37" s="274">
        <v>5008196</v>
      </c>
      <c r="AE37" s="3"/>
    </row>
    <row r="38" spans="1:31">
      <c r="A38" s="90"/>
      <c r="B38" s="91"/>
      <c r="C38" s="92"/>
      <c r="D38" s="93"/>
      <c r="E38" s="91"/>
      <c r="F38" s="91"/>
      <c r="H38" s="92"/>
      <c r="I38" s="91"/>
      <c r="J38" s="91">
        <v>2.5</v>
      </c>
      <c r="K38" s="195"/>
      <c r="L38" s="126" t="s">
        <v>147</v>
      </c>
      <c r="M38" s="129">
        <v>562223</v>
      </c>
      <c r="N38" s="129">
        <v>538400</v>
      </c>
    </row>
    <row r="39" spans="1:31">
      <c r="A39" s="90"/>
      <c r="B39" s="91"/>
      <c r="C39" s="92"/>
      <c r="D39" s="93"/>
      <c r="E39" s="91"/>
      <c r="F39" s="91"/>
      <c r="H39" s="92"/>
      <c r="I39" s="91"/>
      <c r="J39" s="91"/>
      <c r="K39" s="195"/>
      <c r="L39" s="275" t="s">
        <v>152</v>
      </c>
      <c r="M39" s="274">
        <v>562223</v>
      </c>
      <c r="N39" s="274">
        <v>538400</v>
      </c>
      <c r="AA39" s="50"/>
    </row>
    <row r="40" spans="1:31">
      <c r="A40" s="90"/>
      <c r="B40" s="91"/>
      <c r="C40" s="92"/>
      <c r="D40" s="93"/>
      <c r="E40" s="91"/>
      <c r="F40" s="91"/>
      <c r="H40" s="92"/>
      <c r="I40" s="91"/>
      <c r="J40" s="91">
        <v>2.6</v>
      </c>
      <c r="K40" s="91"/>
      <c r="L40" s="118" t="s">
        <v>50</v>
      </c>
      <c r="M40" s="129">
        <v>367636</v>
      </c>
      <c r="N40" s="129">
        <v>349098</v>
      </c>
      <c r="V40" s="3"/>
    </row>
    <row r="41" spans="1:31">
      <c r="A41" s="90"/>
      <c r="B41" s="91"/>
      <c r="C41" s="92"/>
      <c r="D41" s="93"/>
      <c r="E41" s="91"/>
      <c r="F41" s="91"/>
      <c r="H41" s="92"/>
      <c r="I41" s="91"/>
      <c r="J41" s="91"/>
      <c r="K41" s="91">
        <v>6.3</v>
      </c>
      <c r="L41" s="273" t="s">
        <v>124</v>
      </c>
      <c r="M41" s="276">
        <v>367636</v>
      </c>
      <c r="N41" s="277">
        <v>349098</v>
      </c>
      <c r="V41" s="3"/>
      <c r="AE41" s="50"/>
    </row>
    <row r="42" spans="1:31">
      <c r="A42" s="90"/>
      <c r="B42" s="91"/>
      <c r="C42" s="92"/>
      <c r="D42" s="93"/>
      <c r="E42" s="91"/>
      <c r="F42" s="91"/>
      <c r="H42" s="92"/>
      <c r="I42" s="91"/>
      <c r="J42" s="91">
        <v>2.8</v>
      </c>
      <c r="K42" s="91"/>
      <c r="L42" s="118" t="s">
        <v>160</v>
      </c>
      <c r="M42" s="120">
        <v>35400</v>
      </c>
      <c r="N42" s="120">
        <v>27000</v>
      </c>
      <c r="V42" s="3"/>
    </row>
    <row r="43" spans="1:31">
      <c r="A43" s="90"/>
      <c r="B43" s="91"/>
      <c r="C43" s="92"/>
      <c r="D43" s="93"/>
      <c r="E43" s="91"/>
      <c r="F43" s="91"/>
      <c r="H43" s="92"/>
      <c r="I43" s="91"/>
      <c r="J43" s="91"/>
      <c r="K43" s="195" t="s">
        <v>161</v>
      </c>
      <c r="L43" s="273" t="s">
        <v>162</v>
      </c>
      <c r="M43" s="280">
        <v>35400</v>
      </c>
      <c r="N43" s="280">
        <v>27000</v>
      </c>
      <c r="T43" s="3"/>
    </row>
    <row r="44" spans="1:31">
      <c r="A44" s="90"/>
      <c r="B44" s="91"/>
      <c r="C44" s="92"/>
      <c r="D44" s="93"/>
      <c r="E44" s="91"/>
      <c r="F44" s="91"/>
      <c r="H44" s="92"/>
      <c r="I44" s="91"/>
      <c r="J44" s="91">
        <v>2.8</v>
      </c>
      <c r="K44" s="91"/>
      <c r="L44" s="118" t="s">
        <v>52</v>
      </c>
      <c r="M44" s="120">
        <v>325</v>
      </c>
      <c r="N44" s="120">
        <v>325</v>
      </c>
      <c r="R44" s="198">
        <v>120559.03999999999</v>
      </c>
      <c r="S44" s="3">
        <v>0</v>
      </c>
      <c r="U44" s="50">
        <f>+R44-S44</f>
        <v>120559.03999999999</v>
      </c>
      <c r="V44" s="201">
        <v>0.05</v>
      </c>
      <c r="W44" s="3">
        <f>+U44*V44</f>
        <v>6027.9520000000002</v>
      </c>
      <c r="X44" s="50">
        <f>+R44-W44</f>
        <v>114531.08799999999</v>
      </c>
    </row>
    <row r="45" spans="1:31">
      <c r="A45" s="90"/>
      <c r="B45" s="91"/>
      <c r="C45" s="92"/>
      <c r="D45" s="93"/>
      <c r="E45" s="91"/>
      <c r="F45" s="91"/>
      <c r="H45" s="92"/>
      <c r="I45" s="91"/>
      <c r="J45" s="91"/>
      <c r="K45" s="91" t="s">
        <v>53</v>
      </c>
      <c r="L45" s="121" t="s">
        <v>54</v>
      </c>
      <c r="M45" s="156">
        <v>325</v>
      </c>
      <c r="N45" s="156">
        <v>325</v>
      </c>
      <c r="R45" s="3">
        <v>1845.01</v>
      </c>
      <c r="S45">
        <f>1845.01*18%</f>
        <v>332.10179999999997</v>
      </c>
      <c r="U45" s="50">
        <f>+R45-S45</f>
        <v>1512.9082000000001</v>
      </c>
      <c r="V45" s="201">
        <f>+V44</f>
        <v>0.05</v>
      </c>
      <c r="W45" s="50">
        <v>92.67</v>
      </c>
      <c r="X45" s="50">
        <f>+R45-W45</f>
        <v>1752.34</v>
      </c>
    </row>
    <row r="46" spans="1:31">
      <c r="A46" s="90"/>
      <c r="B46" s="91"/>
      <c r="C46" s="92"/>
      <c r="D46" s="93"/>
      <c r="E46" s="91"/>
      <c r="F46" s="91"/>
      <c r="H46" s="92"/>
      <c r="I46" s="91">
        <v>2</v>
      </c>
      <c r="J46" s="91">
        <v>3</v>
      </c>
      <c r="K46" s="91"/>
      <c r="L46" s="118" t="s">
        <v>55</v>
      </c>
      <c r="M46" s="120">
        <f>SUM(M47+M49+M51)</f>
        <v>614256</v>
      </c>
      <c r="N46" s="120">
        <f>SUM(N47+N49+N51)</f>
        <v>594048</v>
      </c>
      <c r="W46">
        <v>6553.38</v>
      </c>
    </row>
    <row r="47" spans="1:31">
      <c r="A47" s="90"/>
      <c r="B47" s="91"/>
      <c r="C47" s="92"/>
      <c r="D47" s="93"/>
      <c r="E47" s="91"/>
      <c r="F47" s="91"/>
      <c r="H47" s="92"/>
      <c r="I47" s="91"/>
      <c r="J47" s="91">
        <v>3.1</v>
      </c>
      <c r="K47" s="91"/>
      <c r="L47" s="118" t="s">
        <v>163</v>
      </c>
      <c r="M47" s="120">
        <v>361298</v>
      </c>
      <c r="N47" s="120">
        <v>344156</v>
      </c>
    </row>
    <row r="48" spans="1:31">
      <c r="A48" s="90"/>
      <c r="B48" s="91"/>
      <c r="C48" s="92"/>
      <c r="D48" s="93"/>
      <c r="E48" s="91"/>
      <c r="F48" s="91"/>
      <c r="H48" s="92"/>
      <c r="I48" s="91"/>
      <c r="J48" s="91"/>
      <c r="K48" s="91" t="s">
        <v>164</v>
      </c>
      <c r="L48" s="194" t="s">
        <v>165</v>
      </c>
      <c r="M48" s="278">
        <v>361298</v>
      </c>
      <c r="N48" s="278">
        <v>344156</v>
      </c>
    </row>
    <row r="49" spans="1:26">
      <c r="A49" s="90"/>
      <c r="B49" s="91"/>
      <c r="C49" s="92"/>
      <c r="D49" s="93"/>
      <c r="E49" s="91"/>
      <c r="F49" s="91"/>
      <c r="H49" s="92"/>
      <c r="I49" s="91"/>
      <c r="J49" s="131">
        <v>3.7</v>
      </c>
      <c r="K49" s="131"/>
      <c r="L49" s="118" t="s">
        <v>60</v>
      </c>
      <c r="M49" s="120">
        <v>200000</v>
      </c>
      <c r="N49" s="120">
        <v>199178</v>
      </c>
      <c r="T49" s="3"/>
      <c r="U49" s="3"/>
    </row>
    <row r="50" spans="1:26">
      <c r="A50" s="90"/>
      <c r="B50" s="91"/>
      <c r="C50" s="92"/>
      <c r="D50" s="93"/>
      <c r="E50" s="91"/>
      <c r="F50" s="91"/>
      <c r="H50" s="92"/>
      <c r="I50" s="91"/>
      <c r="J50" s="131"/>
      <c r="K50" s="131"/>
      <c r="L50" s="273" t="s">
        <v>62</v>
      </c>
      <c r="M50" s="278">
        <v>200000</v>
      </c>
      <c r="N50" s="278">
        <v>199178</v>
      </c>
      <c r="T50" s="3"/>
      <c r="U50" s="3"/>
    </row>
    <row r="51" spans="1:26">
      <c r="A51" s="90"/>
      <c r="B51" s="91"/>
      <c r="C51" s="92"/>
      <c r="D51" s="93"/>
      <c r="E51" s="91"/>
      <c r="F51" s="91"/>
      <c r="H51" s="92"/>
      <c r="I51" s="91"/>
      <c r="J51" s="131" t="s">
        <v>166</v>
      </c>
      <c r="K51" s="131"/>
      <c r="L51" s="118" t="s">
        <v>167</v>
      </c>
      <c r="M51" s="120">
        <v>52958</v>
      </c>
      <c r="N51" s="212">
        <v>50714</v>
      </c>
      <c r="T51" s="3"/>
      <c r="U51" s="3"/>
      <c r="Z51" s="50">
        <f>+M57-N57</f>
        <v>259020</v>
      </c>
    </row>
    <row r="52" spans="1:26">
      <c r="A52" s="90"/>
      <c r="B52" s="91"/>
      <c r="C52" s="92"/>
      <c r="D52" s="93"/>
      <c r="E52" s="91"/>
      <c r="F52" s="91"/>
      <c r="H52" s="92"/>
      <c r="I52" s="91"/>
      <c r="J52" s="131"/>
      <c r="K52" s="131" t="s">
        <v>168</v>
      </c>
      <c r="L52" s="194" t="s">
        <v>169</v>
      </c>
      <c r="M52" s="278">
        <v>52958</v>
      </c>
      <c r="N52" s="279">
        <v>50714</v>
      </c>
      <c r="T52" s="3"/>
      <c r="U52" s="3"/>
    </row>
    <row r="53" spans="1:26">
      <c r="A53" s="90"/>
      <c r="B53" s="91"/>
      <c r="C53" s="92"/>
      <c r="D53" s="93"/>
      <c r="E53" s="91"/>
      <c r="F53" s="91"/>
      <c r="H53" s="92"/>
      <c r="I53" s="91"/>
      <c r="J53" s="131"/>
      <c r="K53" s="131"/>
      <c r="L53" s="118"/>
      <c r="M53" s="120"/>
      <c r="N53" s="212"/>
      <c r="Q53" s="50"/>
      <c r="T53" s="3"/>
      <c r="U53" s="3"/>
      <c r="W53" s="50" t="e">
        <f>6553.38-#REF!</f>
        <v>#REF!</v>
      </c>
    </row>
    <row r="54" spans="1:26">
      <c r="A54" s="90"/>
      <c r="B54" s="91"/>
      <c r="D54" s="93"/>
      <c r="E54" s="91"/>
      <c r="F54" s="91"/>
      <c r="G54" s="91"/>
      <c r="I54" s="91"/>
      <c r="J54" s="131">
        <v>2.6</v>
      </c>
      <c r="K54" s="91"/>
      <c r="L54" s="118" t="s">
        <v>150</v>
      </c>
      <c r="M54" s="120">
        <v>342646</v>
      </c>
      <c r="N54" s="212" t="s">
        <v>172</v>
      </c>
      <c r="P54" s="167"/>
      <c r="R54" s="3"/>
    </row>
    <row r="55" spans="1:26">
      <c r="A55" s="90"/>
      <c r="B55" s="91"/>
      <c r="C55" s="91"/>
      <c r="D55" s="93"/>
      <c r="E55" s="91"/>
      <c r="F55" s="91"/>
      <c r="G55" s="91"/>
      <c r="I55" s="91"/>
      <c r="J55" s="91"/>
      <c r="K55" s="195" t="s">
        <v>170</v>
      </c>
      <c r="L55" s="273" t="s">
        <v>171</v>
      </c>
      <c r="M55" s="281">
        <v>342646</v>
      </c>
      <c r="N55" s="282">
        <v>328127</v>
      </c>
      <c r="P55" s="167"/>
      <c r="R55" s="3"/>
    </row>
    <row r="56" spans="1:26">
      <c r="A56" s="221"/>
      <c r="B56" s="91"/>
      <c r="C56" s="91"/>
      <c r="D56" s="93"/>
      <c r="E56" s="91"/>
      <c r="F56" s="91"/>
      <c r="G56" s="91"/>
      <c r="I56" s="173"/>
      <c r="J56" s="91"/>
      <c r="K56" s="91"/>
      <c r="L56" s="194"/>
      <c r="M56" s="226"/>
      <c r="N56" s="226"/>
      <c r="P56" s="167"/>
      <c r="R56" s="3"/>
      <c r="T56" t="e">
        <f>SUM(#REF!)</f>
        <v>#REF!</v>
      </c>
    </row>
    <row r="57" spans="1:26">
      <c r="A57" s="134"/>
      <c r="B57" s="91"/>
      <c r="C57" s="91"/>
      <c r="D57" s="93"/>
      <c r="E57" s="91"/>
      <c r="F57" s="91"/>
      <c r="G57" s="91"/>
      <c r="I57" s="173"/>
      <c r="J57" s="91"/>
      <c r="K57" s="195"/>
      <c r="L57" s="194"/>
      <c r="M57" s="203">
        <f>SUM(M20+M30+M46+M54)</f>
        <v>10627565</v>
      </c>
      <c r="N57" s="227">
        <v>10368545</v>
      </c>
      <c r="P57" s="167"/>
      <c r="R57" s="3"/>
    </row>
    <row r="58" spans="1:26">
      <c r="A58" s="134"/>
      <c r="B58" s="91"/>
      <c r="C58" s="91"/>
      <c r="D58" s="93"/>
      <c r="E58" s="91"/>
      <c r="F58" s="91"/>
      <c r="G58" s="91"/>
      <c r="I58" s="173"/>
      <c r="J58" s="91"/>
      <c r="K58" s="195"/>
      <c r="L58" s="194" t="s">
        <v>173</v>
      </c>
      <c r="M58" s="203"/>
      <c r="N58" s="223">
        <v>259020</v>
      </c>
      <c r="P58" s="167"/>
      <c r="R58" s="3"/>
    </row>
    <row r="59" spans="1:26">
      <c r="A59" s="134"/>
      <c r="B59" s="91"/>
      <c r="C59" s="91"/>
      <c r="D59" s="93"/>
      <c r="E59" s="91"/>
      <c r="F59" s="91"/>
      <c r="G59" s="91"/>
      <c r="I59" s="173"/>
      <c r="J59" s="91"/>
      <c r="K59" s="91"/>
      <c r="L59" s="118"/>
      <c r="M59" s="120"/>
      <c r="N59" s="212"/>
      <c r="P59" s="167"/>
      <c r="R59" s="3"/>
    </row>
    <row r="60" spans="1:26">
      <c r="A60" s="134"/>
      <c r="B60" s="210"/>
      <c r="C60" s="210"/>
      <c r="D60" s="211"/>
      <c r="E60" s="210"/>
      <c r="F60" s="210"/>
      <c r="G60" s="210"/>
      <c r="H60" s="175"/>
      <c r="I60" s="185"/>
      <c r="J60" s="210"/>
      <c r="K60" s="210"/>
      <c r="L60" s="224"/>
      <c r="M60" s="225">
        <f>SUM(M20+M30+M46+M54)</f>
        <v>10627565</v>
      </c>
      <c r="N60" s="225">
        <f>SUM(N57+N58)</f>
        <v>10627565</v>
      </c>
      <c r="P60" s="167"/>
      <c r="Q60" s="50" t="e">
        <f>+#REF!-#REF!</f>
        <v>#REF!</v>
      </c>
    </row>
    <row r="61" spans="1:26">
      <c r="A61" s="134"/>
      <c r="D61" s="135"/>
      <c r="L61" s="222"/>
      <c r="M61" s="141"/>
      <c r="N61" s="141"/>
      <c r="P61" s="167"/>
    </row>
    <row r="62" spans="1:26">
      <c r="A62" s="134"/>
      <c r="D62" s="135"/>
      <c r="L62" s="140"/>
      <c r="M62" s="189"/>
      <c r="N62" s="189"/>
      <c r="P62" s="167"/>
      <c r="R62" s="3"/>
    </row>
    <row r="63" spans="1:26">
      <c r="A63" s="208"/>
      <c r="B63" s="209"/>
      <c r="D63" s="135"/>
      <c r="L63" s="140"/>
      <c r="M63" s="141"/>
      <c r="N63" s="141"/>
      <c r="P63" s="167"/>
      <c r="Q63" s="50"/>
    </row>
    <row r="64" spans="1:26">
      <c r="J64" s="143"/>
      <c r="L64" s="140"/>
      <c r="M64" s="142"/>
      <c r="N64" s="144"/>
      <c r="O64" s="95"/>
    </row>
    <row r="65" spans="10:18">
      <c r="J65" s="143"/>
      <c r="L65" s="140"/>
      <c r="M65" s="141"/>
      <c r="N65" s="144"/>
      <c r="O65" s="95"/>
    </row>
    <row r="66" spans="10:18">
      <c r="J66" s="143"/>
      <c r="L66" s="126"/>
      <c r="M66" s="142"/>
      <c r="N66" s="144"/>
      <c r="O66" s="95"/>
    </row>
    <row r="67" spans="10:18">
      <c r="J67" s="143"/>
      <c r="L67" s="140"/>
      <c r="M67" s="142"/>
      <c r="N67" s="144"/>
      <c r="O67" s="95"/>
      <c r="R67" s="50"/>
    </row>
    <row r="68" spans="10:18">
      <c r="J68" s="143"/>
      <c r="L68" s="140"/>
      <c r="M68" s="141"/>
      <c r="N68" s="145"/>
      <c r="O68" s="95"/>
    </row>
    <row r="69" spans="10:18">
      <c r="J69" s="143"/>
      <c r="L69" s="140"/>
      <c r="M69" s="141"/>
      <c r="N69" s="145"/>
      <c r="O69" s="95"/>
    </row>
    <row r="70" spans="10:18">
      <c r="J70" s="143"/>
      <c r="L70" s="126"/>
      <c r="M70" s="142"/>
      <c r="N70" s="145"/>
      <c r="O70" s="95"/>
    </row>
    <row r="71" spans="10:18">
      <c r="J71" s="143"/>
      <c r="L71" s="140"/>
      <c r="M71" s="141"/>
      <c r="N71" s="145"/>
      <c r="O71" s="95"/>
    </row>
    <row r="72" spans="10:18">
      <c r="J72" s="143"/>
      <c r="L72" s="140"/>
      <c r="M72" s="142"/>
      <c r="N72" s="144"/>
      <c r="O72" s="95"/>
    </row>
    <row r="73" spans="10:18">
      <c r="J73" s="143"/>
      <c r="L73" s="126"/>
      <c r="M73" s="142"/>
      <c r="N73" s="145"/>
      <c r="O73" s="95"/>
    </row>
    <row r="74" spans="10:18">
      <c r="J74" s="143"/>
      <c r="K74" s="146"/>
      <c r="L74" s="140"/>
      <c r="M74" s="141"/>
      <c r="N74" s="142"/>
      <c r="O74" s="95"/>
    </row>
    <row r="75" spans="10:18">
      <c r="J75" s="143"/>
      <c r="L75" s="140"/>
      <c r="M75" s="141"/>
      <c r="N75" s="145"/>
      <c r="O75" s="95"/>
    </row>
    <row r="76" spans="10:18">
      <c r="J76" s="143"/>
      <c r="L76" s="140"/>
      <c r="M76" s="144"/>
      <c r="N76" s="145"/>
      <c r="O76" s="95"/>
    </row>
    <row r="77" spans="10:18">
      <c r="J77" s="143"/>
      <c r="L77" s="140"/>
      <c r="M77" s="141"/>
      <c r="N77" s="144"/>
      <c r="O77" s="95"/>
    </row>
    <row r="78" spans="10:18">
      <c r="J78" s="143"/>
      <c r="L78" s="140"/>
      <c r="M78" s="141"/>
      <c r="N78" s="145"/>
      <c r="O78" s="95"/>
    </row>
    <row r="79" spans="10:18">
      <c r="J79" s="143"/>
      <c r="L79" s="140"/>
      <c r="M79" s="141"/>
      <c r="N79" s="145"/>
      <c r="O79" s="95"/>
    </row>
    <row r="80" spans="10:18">
      <c r="J80" s="143"/>
      <c r="L80" s="140"/>
      <c r="M80" s="141"/>
      <c r="N80" s="145"/>
      <c r="O80" s="95"/>
    </row>
    <row r="81" spans="10:16">
      <c r="J81" s="143"/>
      <c r="L81" s="126"/>
      <c r="M81" s="141"/>
      <c r="N81" s="145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26"/>
      <c r="M83" s="141"/>
      <c r="N83" s="145"/>
      <c r="O83" s="95"/>
    </row>
    <row r="84" spans="10:16">
      <c r="J84" s="143"/>
      <c r="L84" s="126"/>
      <c r="M84" s="142"/>
      <c r="N84" s="145"/>
      <c r="O84" s="95"/>
    </row>
    <row r="85" spans="10:16">
      <c r="J85" s="143"/>
      <c r="L85" s="126"/>
      <c r="M85" s="142"/>
      <c r="N85" s="144"/>
      <c r="O85" s="95"/>
    </row>
    <row r="86" spans="10:16">
      <c r="J86" s="143"/>
      <c r="L86" s="140"/>
      <c r="M86" s="142"/>
      <c r="N86" s="144"/>
      <c r="O86" s="141"/>
      <c r="P86" s="141"/>
    </row>
    <row r="87" spans="10:16">
      <c r="J87" s="143"/>
      <c r="L87" s="140"/>
      <c r="M87" s="142"/>
      <c r="N87" s="144"/>
      <c r="O87" s="141"/>
      <c r="P87" s="141"/>
    </row>
    <row r="88" spans="10:16">
      <c r="J88" s="147"/>
      <c r="L88" s="140"/>
      <c r="M88" s="148"/>
      <c r="N88" s="142"/>
      <c r="O88" s="141"/>
      <c r="P88" s="141"/>
    </row>
    <row r="89" spans="10:16">
      <c r="J89" s="147"/>
      <c r="L89" s="140"/>
      <c r="M89" s="142"/>
      <c r="N89" s="148"/>
      <c r="O89" s="141"/>
      <c r="P89" s="141"/>
    </row>
    <row r="90" spans="10:16">
      <c r="J90" s="143"/>
      <c r="L90" s="126"/>
      <c r="M90" s="142"/>
      <c r="N90" s="142"/>
      <c r="O90" s="141"/>
      <c r="P90" s="141"/>
    </row>
    <row r="91" spans="10:16">
      <c r="J91" s="143"/>
      <c r="L91" s="140"/>
      <c r="M91" s="141"/>
      <c r="N91" s="142"/>
      <c r="O91" s="141"/>
      <c r="P91" s="141"/>
    </row>
    <row r="92" spans="10:16">
      <c r="J92" s="143"/>
      <c r="L92" s="140"/>
      <c r="M92" s="141"/>
      <c r="N92" s="142"/>
      <c r="O92" s="95"/>
    </row>
    <row r="93" spans="10:16">
      <c r="J93" s="143"/>
      <c r="L93" s="126"/>
      <c r="M93" s="142"/>
      <c r="N93" s="141"/>
      <c r="O93" s="95"/>
    </row>
    <row r="94" spans="10:16">
      <c r="L94" s="140"/>
      <c r="M94" s="142"/>
      <c r="N94" s="142"/>
      <c r="O94" s="95"/>
    </row>
    <row r="95" spans="10:16">
      <c r="L95" s="140"/>
      <c r="M95" s="141"/>
      <c r="N95" s="142"/>
      <c r="O95" s="95"/>
    </row>
    <row r="96" spans="10:16">
      <c r="L96" s="126"/>
      <c r="M96" s="141"/>
      <c r="N96" s="141"/>
      <c r="O96" s="95"/>
    </row>
    <row r="97" spans="10:17">
      <c r="L97" s="140"/>
      <c r="M97" s="142"/>
      <c r="N97" s="95"/>
      <c r="O97" s="95"/>
    </row>
    <row r="98" spans="10:17">
      <c r="L98" s="126"/>
      <c r="M98" s="149"/>
      <c r="N98" s="142"/>
      <c r="O98" s="95"/>
    </row>
    <row r="99" spans="10:17">
      <c r="L99" s="126"/>
      <c r="M99" s="95"/>
      <c r="N99" s="149"/>
      <c r="O99" s="95"/>
    </row>
    <row r="100" spans="10:17">
      <c r="L100" s="140"/>
      <c r="M100" s="95"/>
      <c r="N100" s="149"/>
      <c r="O100" s="95"/>
    </row>
    <row r="101" spans="10:17">
      <c r="L101" s="140"/>
      <c r="M101" s="149"/>
      <c r="N101" s="95"/>
      <c r="O101" s="95"/>
    </row>
    <row r="102" spans="10:17">
      <c r="L102" s="140"/>
      <c r="M102" s="149"/>
      <c r="N102" s="149"/>
      <c r="O102" s="95"/>
    </row>
    <row r="103" spans="10:17">
      <c r="L103" s="140"/>
      <c r="M103" s="149"/>
      <c r="N103" s="149"/>
      <c r="O103" s="95"/>
    </row>
    <row r="104" spans="10:17">
      <c r="L104" s="140"/>
      <c r="M104" s="95"/>
      <c r="N104" s="149"/>
      <c r="O104" s="95"/>
    </row>
    <row r="105" spans="10:17">
      <c r="L105" s="140"/>
      <c r="M105" s="95"/>
      <c r="N105" s="149"/>
      <c r="O105" s="140"/>
      <c r="P105" s="95"/>
      <c r="Q105" s="95"/>
    </row>
    <row r="106" spans="10:17">
      <c r="L106" s="140"/>
      <c r="M106" s="149"/>
      <c r="N106" s="95"/>
      <c r="O106" s="95"/>
    </row>
    <row r="107" spans="10:17">
      <c r="J107" s="143"/>
      <c r="L107" s="140"/>
      <c r="M107" s="149"/>
      <c r="N107" s="149"/>
      <c r="O107" s="95"/>
    </row>
    <row r="108" spans="10:17">
      <c r="J108" s="143"/>
      <c r="L108" s="140"/>
      <c r="M108" s="149"/>
      <c r="N108" s="149"/>
      <c r="O108" s="95"/>
    </row>
    <row r="109" spans="10:17">
      <c r="L109" s="140"/>
      <c r="M109" s="95"/>
      <c r="N109" s="149"/>
      <c r="O109" s="95"/>
    </row>
    <row r="110" spans="10:17">
      <c r="L110" s="140"/>
      <c r="M110" s="149"/>
      <c r="N110" s="95"/>
      <c r="O110" s="95"/>
    </row>
    <row r="111" spans="10:17">
      <c r="L111" s="140"/>
      <c r="M111" s="95"/>
      <c r="N111" s="149"/>
      <c r="O111" s="95"/>
    </row>
    <row r="112" spans="10:17">
      <c r="L112" s="140"/>
      <c r="M112" s="95"/>
      <c r="N112" s="95"/>
      <c r="O112" s="95"/>
    </row>
    <row r="113" spans="1:15">
      <c r="J113" s="143"/>
      <c r="L113" s="140"/>
      <c r="M113" s="95"/>
      <c r="N113" s="95"/>
      <c r="O113" s="95"/>
    </row>
    <row r="114" spans="1:15">
      <c r="K114" s="143"/>
      <c r="M114" s="149"/>
      <c r="N114" s="95"/>
      <c r="O114" s="95"/>
    </row>
    <row r="115" spans="1:15">
      <c r="J115" s="143"/>
      <c r="K115" s="143"/>
      <c r="M115" s="95"/>
      <c r="N115" s="149"/>
      <c r="O115" s="95"/>
    </row>
    <row r="116" spans="1:15">
      <c r="K116" s="143"/>
      <c r="M116" s="149"/>
      <c r="N116" s="95"/>
      <c r="O116" s="95"/>
    </row>
    <row r="117" spans="1:15">
      <c r="A117" t="s">
        <v>67</v>
      </c>
      <c r="M117" s="149"/>
      <c r="N117" s="149"/>
    </row>
    <row r="118" spans="1:15">
      <c r="M118" s="95"/>
      <c r="N118" s="149"/>
    </row>
    <row r="119" spans="1:15">
      <c r="M119" s="95"/>
      <c r="N119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H6" sqref="H6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5" t="s">
        <v>68</v>
      </c>
      <c r="E9" s="255"/>
      <c r="F9" s="255"/>
      <c r="G9" s="255"/>
      <c r="H9" s="51"/>
    </row>
    <row r="10" spans="4:14" ht="15.75">
      <c r="D10" s="255" t="s">
        <v>69</v>
      </c>
      <c r="E10" s="255"/>
      <c r="F10" s="255"/>
      <c r="G10" s="255"/>
      <c r="H10" s="51"/>
    </row>
    <row r="11" spans="4:14" ht="15.75">
      <c r="D11" s="255" t="s">
        <v>175</v>
      </c>
      <c r="E11" s="255"/>
      <c r="F11" s="255"/>
      <c r="G11" s="255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23753585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1995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23755580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7" zoomScaleNormal="100" zoomScaleSheetLayoutView="100" workbookViewId="0">
      <selection activeCell="M16" sqref="M16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5" t="s">
        <v>75</v>
      </c>
      <c r="B9" s="255"/>
      <c r="C9" s="255"/>
      <c r="D9" s="255"/>
      <c r="E9" s="255"/>
      <c r="F9" s="256"/>
      <c r="G9" s="256"/>
    </row>
    <row r="10" spans="1:14" ht="15.75">
      <c r="A10" s="257" t="s">
        <v>76</v>
      </c>
      <c r="B10" s="257"/>
      <c r="C10" s="257"/>
      <c r="D10" s="257"/>
      <c r="E10" s="257"/>
    </row>
    <row r="11" spans="1:14" ht="15.75" customHeight="1">
      <c r="A11" s="258" t="s">
        <v>174</v>
      </c>
      <c r="B11" s="258"/>
      <c r="C11" s="258"/>
      <c r="D11" s="258"/>
      <c r="E11" s="258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144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opLeftCell="A12" zoomScaleNormal="100" zoomScaleSheetLayoutView="100" workbookViewId="0">
      <selection activeCell="H33" sqref="H33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33" t="s">
        <v>0</v>
      </c>
      <c r="B9" s="234"/>
      <c r="C9" s="234"/>
      <c r="D9" s="234"/>
      <c r="E9" s="234"/>
      <c r="F9" s="235"/>
    </row>
    <row r="10" spans="1:14" ht="18">
      <c r="A10" s="261" t="s">
        <v>94</v>
      </c>
      <c r="B10" s="259"/>
      <c r="C10" s="259"/>
      <c r="D10" s="259"/>
      <c r="E10" s="259"/>
      <c r="F10" s="262"/>
    </row>
    <row r="11" spans="1:14">
      <c r="A11" s="5"/>
      <c r="D11" s="6"/>
      <c r="E11" s="263"/>
      <c r="F11" s="264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117</v>
      </c>
      <c r="E14" s="265" t="s">
        <v>5</v>
      </c>
      <c r="F14" s="266"/>
    </row>
    <row r="15" spans="1:14">
      <c r="A15" s="11" t="s">
        <v>116</v>
      </c>
      <c r="E15" s="12" t="s">
        <v>7</v>
      </c>
      <c r="F15" s="13"/>
    </row>
    <row r="16" spans="1:14" ht="14.25" customHeight="1">
      <c r="A16" s="190" t="s">
        <v>153</v>
      </c>
      <c r="B16" s="14"/>
      <c r="C16" s="15"/>
      <c r="E16" s="12" t="s">
        <v>8</v>
      </c>
      <c r="F16" s="13"/>
    </row>
    <row r="17" spans="1:7">
      <c r="A17" s="11" t="s">
        <v>139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68" t="s">
        <v>95</v>
      </c>
      <c r="B20" s="268"/>
      <c r="C20" s="268"/>
      <c r="D20" s="268" t="s">
        <v>96</v>
      </c>
      <c r="E20" s="22"/>
      <c r="F20" s="271" t="s">
        <v>97</v>
      </c>
    </row>
    <row r="21" spans="1:7" ht="15.75">
      <c r="A21" s="269"/>
      <c r="B21" s="269"/>
      <c r="C21" s="269"/>
      <c r="D21" s="269"/>
      <c r="E21" s="23" t="s">
        <v>98</v>
      </c>
      <c r="F21" s="272"/>
    </row>
    <row r="22" spans="1:7" ht="15.75">
      <c r="A22" s="267" t="s">
        <v>12</v>
      </c>
      <c r="B22" s="267"/>
      <c r="C22" s="267"/>
      <c r="D22" s="270"/>
      <c r="E22" s="23"/>
      <c r="F22" s="24" t="s">
        <v>99</v>
      </c>
    </row>
    <row r="23" spans="1:7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102</v>
      </c>
      <c r="E24" s="34"/>
      <c r="F24" s="207">
        <f>SUM(F26+F27)</f>
        <v>8332379</v>
      </c>
      <c r="G24" s="35"/>
    </row>
    <row r="25" spans="1:7" ht="18.75">
      <c r="A25" s="30"/>
      <c r="B25" s="36">
        <v>1</v>
      </c>
      <c r="C25" s="37"/>
      <c r="D25" s="38" t="s">
        <v>103</v>
      </c>
      <c r="E25" s="39"/>
      <c r="F25" s="202">
        <f>SUM(F26+F27)</f>
        <v>8332379</v>
      </c>
      <c r="G25" s="35"/>
    </row>
    <row r="26" spans="1:7" ht="18.75">
      <c r="A26" s="30"/>
      <c r="B26" s="40"/>
      <c r="C26" s="37">
        <v>61</v>
      </c>
      <c r="D26" s="38" t="s">
        <v>104</v>
      </c>
      <c r="E26" s="39">
        <v>9992</v>
      </c>
      <c r="F26" s="41">
        <v>4460329</v>
      </c>
    </row>
    <row r="27" spans="1:7" ht="18.75">
      <c r="A27" s="30"/>
      <c r="B27" s="40"/>
      <c r="C27" s="37">
        <v>62</v>
      </c>
      <c r="D27" s="38" t="s">
        <v>105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106</v>
      </c>
      <c r="E28" s="39"/>
      <c r="F28" s="35"/>
    </row>
    <row r="29" spans="1:7" ht="18.75">
      <c r="A29" s="30"/>
      <c r="B29" s="40">
        <v>1</v>
      </c>
      <c r="C29" s="37"/>
      <c r="D29" s="38" t="s">
        <v>107</v>
      </c>
      <c r="E29" s="39"/>
      <c r="F29" s="41"/>
    </row>
    <row r="30" spans="1:7" ht="18.75">
      <c r="A30" s="30"/>
      <c r="B30" s="40"/>
      <c r="C30" s="37">
        <v>9</v>
      </c>
      <c r="D30" s="38" t="s">
        <v>106</v>
      </c>
      <c r="E30" s="39"/>
      <c r="F30" s="41"/>
    </row>
    <row r="31" spans="1:7" ht="18.75">
      <c r="A31" s="30"/>
      <c r="B31" s="40"/>
      <c r="C31" s="37"/>
      <c r="D31" s="38" t="s">
        <v>108</v>
      </c>
      <c r="E31" s="39">
        <v>9998</v>
      </c>
      <c r="F31" s="42"/>
    </row>
    <row r="32" spans="1:7" ht="18.75">
      <c r="A32" s="30"/>
      <c r="B32" s="40"/>
      <c r="C32" s="37"/>
      <c r="D32" s="38" t="s">
        <v>108</v>
      </c>
      <c r="E32" s="39"/>
      <c r="F32" s="43"/>
    </row>
    <row r="33" spans="1:7" ht="18.75">
      <c r="A33" s="30"/>
      <c r="B33" s="40"/>
      <c r="C33" s="37"/>
      <c r="D33" s="38" t="s">
        <v>109</v>
      </c>
      <c r="E33" s="39"/>
      <c r="F33" s="43"/>
    </row>
    <row r="34" spans="1:7" ht="18.75">
      <c r="A34" s="30"/>
      <c r="B34" s="40"/>
      <c r="C34" s="37"/>
      <c r="D34" s="38" t="s">
        <v>110</v>
      </c>
      <c r="E34" s="39"/>
      <c r="F34" s="43"/>
    </row>
    <row r="35" spans="1:7" ht="18.75">
      <c r="A35" s="30">
        <v>3</v>
      </c>
      <c r="B35" s="40"/>
      <c r="C35" s="37"/>
      <c r="D35" s="157" t="s">
        <v>123</v>
      </c>
      <c r="E35" s="39"/>
      <c r="F35" s="35">
        <v>2295186</v>
      </c>
    </row>
    <row r="36" spans="1:7" ht="18.75">
      <c r="A36" s="30"/>
      <c r="B36" s="40">
        <v>11</v>
      </c>
      <c r="C36" s="37">
        <v>11</v>
      </c>
      <c r="D36" s="38" t="s">
        <v>111</v>
      </c>
      <c r="E36" s="39"/>
      <c r="F36" s="41">
        <v>2295186</v>
      </c>
    </row>
    <row r="37" spans="1:7" ht="18.75">
      <c r="A37" s="30">
        <v>3</v>
      </c>
      <c r="B37" s="40"/>
      <c r="C37" s="37"/>
      <c r="D37" s="33" t="s">
        <v>112</v>
      </c>
      <c r="E37" s="44"/>
      <c r="F37" s="35"/>
    </row>
    <row r="38" spans="1:7" ht="18.75">
      <c r="A38" s="30"/>
      <c r="B38" s="40">
        <v>12</v>
      </c>
      <c r="C38" s="37"/>
      <c r="D38" s="38" t="s">
        <v>113</v>
      </c>
      <c r="E38" s="44"/>
      <c r="F38" s="35"/>
    </row>
    <row r="39" spans="1:7" ht="19.5" thickBot="1">
      <c r="A39" s="30"/>
      <c r="B39" s="40"/>
      <c r="C39" s="37">
        <v>11</v>
      </c>
      <c r="D39" s="38" t="s">
        <v>114</v>
      </c>
      <c r="E39" s="44"/>
      <c r="F39" s="35"/>
    </row>
    <row r="40" spans="1:7" ht="19.5" thickBot="1">
      <c r="A40" s="45"/>
      <c r="B40" s="46"/>
      <c r="C40" s="46"/>
      <c r="D40" s="47" t="s">
        <v>66</v>
      </c>
      <c r="E40" s="48"/>
      <c r="F40" s="49">
        <f>SUM(F24+F35)</f>
        <v>10627565</v>
      </c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" zoomScaleNormal="100" workbookViewId="0">
      <selection activeCell="H29" sqref="H29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59" t="s">
        <v>84</v>
      </c>
      <c r="C9" s="259"/>
      <c r="D9" s="259"/>
      <c r="E9" s="259"/>
      <c r="F9" s="259"/>
    </row>
    <row r="10" spans="1:14" ht="19.5" customHeight="1">
      <c r="B10" s="259" t="s">
        <v>85</v>
      </c>
      <c r="C10" s="259"/>
      <c r="D10" s="259"/>
      <c r="E10" s="259"/>
      <c r="F10" s="259"/>
    </row>
    <row r="11" spans="1:14" ht="18.75" customHeight="1">
      <c r="A11" t="s">
        <v>86</v>
      </c>
      <c r="B11" s="260" t="s">
        <v>154</v>
      </c>
      <c r="C11" s="260"/>
      <c r="D11" s="260"/>
      <c r="E11" s="260"/>
      <c r="F11" s="260"/>
    </row>
    <row r="14" spans="1:14" ht="15.75">
      <c r="B14" s="2" t="s">
        <v>87</v>
      </c>
      <c r="C14" s="51"/>
      <c r="D14" s="51"/>
      <c r="E14" s="51"/>
      <c r="F14" s="52">
        <v>26050766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v>8332379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34383145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90</v>
      </c>
      <c r="C20" s="51"/>
      <c r="D20" s="51"/>
      <c r="E20" s="51"/>
      <c r="F20" s="55">
        <v>10627565</v>
      </c>
    </row>
    <row r="21" spans="2:14" ht="15">
      <c r="B21" s="51"/>
      <c r="C21" s="51"/>
      <c r="D21" s="51"/>
      <c r="E21" s="51"/>
      <c r="F21" s="53" t="s">
        <v>142</v>
      </c>
      <c r="J21" s="191"/>
    </row>
    <row r="22" spans="2:14" ht="15.75">
      <c r="B22" s="2" t="s">
        <v>91</v>
      </c>
      <c r="C22" s="51"/>
      <c r="D22" s="51"/>
      <c r="E22" s="51"/>
      <c r="F22" s="56">
        <v>23755580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92</v>
      </c>
      <c r="C26" s="51"/>
      <c r="D26" s="51"/>
      <c r="E26" s="51"/>
      <c r="F26" s="57">
        <v>26050766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93</v>
      </c>
      <c r="C28" s="51"/>
      <c r="D28" s="51"/>
      <c r="E28" s="51"/>
      <c r="F28" s="55">
        <v>23755580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151</v>
      </c>
      <c r="C30" s="51"/>
      <c r="D30" s="51"/>
      <c r="E30" s="51"/>
      <c r="F30" s="204">
        <v>2295186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F33D-23D7-4177-9618-4BA960C23D93}">
  <dimension ref="A8:AH122"/>
  <sheetViews>
    <sheetView topLeftCell="A32" zoomScaleNormal="100" zoomScaleSheetLayoutView="100" workbookViewId="0">
      <selection activeCell="Z41" sqref="Z41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  <col min="27" max="27" width="12.28515625" bestFit="1" customWidth="1"/>
    <col min="28" max="28" width="15.28515625" customWidth="1"/>
    <col min="29" max="29" width="12.85546875" bestFit="1" customWidth="1"/>
    <col min="31" max="33" width="12.85546875" bestFit="1" customWidth="1"/>
  </cols>
  <sheetData>
    <row r="8" spans="1:16" ht="13.5" thickBot="1"/>
    <row r="9" spans="1:16">
      <c r="A9" s="248" t="s">
        <v>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49"/>
      <c r="O9" s="4"/>
      <c r="P9" s="5"/>
    </row>
    <row r="10" spans="1:16" ht="15">
      <c r="A10" s="250" t="s">
        <v>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51"/>
      <c r="O10" s="94"/>
      <c r="P10" s="5"/>
    </row>
    <row r="11" spans="1:16" ht="15">
      <c r="A11" s="219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9" t="s">
        <v>2</v>
      </c>
      <c r="N11" s="252"/>
      <c r="O11" s="94"/>
      <c r="P11" s="5"/>
    </row>
    <row r="12" spans="1:16" ht="15">
      <c r="A12" s="220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1" t="s">
        <v>5</v>
      </c>
      <c r="N12" s="253"/>
      <c r="O12" s="97"/>
      <c r="P12" s="5"/>
    </row>
    <row r="13" spans="1:16" ht="15">
      <c r="A13" s="220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4"/>
      <c r="O13" s="96"/>
      <c r="P13" s="5"/>
    </row>
    <row r="14" spans="1:16" ht="15">
      <c r="A14" s="220" t="s">
        <v>176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4"/>
      <c r="O14" s="96"/>
      <c r="P14" s="5"/>
    </row>
    <row r="15" spans="1:16" ht="15">
      <c r="A15" s="220" t="s">
        <v>139</v>
      </c>
      <c r="B15" s="77"/>
      <c r="C15" s="77"/>
      <c r="D15" s="77"/>
      <c r="M15" s="98" t="s">
        <v>9</v>
      </c>
      <c r="N15" s="214"/>
      <c r="O15" s="99"/>
      <c r="P15" s="5"/>
    </row>
    <row r="16" spans="1:16">
      <c r="A16" s="243" t="s">
        <v>10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5"/>
      <c r="L16" s="246" t="s">
        <v>11</v>
      </c>
      <c r="M16" s="246"/>
      <c r="N16" s="254"/>
      <c r="P16" s="5"/>
    </row>
    <row r="17" spans="1:34">
      <c r="A17" s="228" t="s">
        <v>12</v>
      </c>
      <c r="B17" s="229"/>
      <c r="C17" s="228"/>
      <c r="D17" s="228"/>
      <c r="E17" s="228"/>
      <c r="F17" s="228"/>
      <c r="G17" s="228"/>
      <c r="H17" s="228"/>
      <c r="I17" s="230" t="s">
        <v>13</v>
      </c>
      <c r="J17" s="231"/>
      <c r="K17" s="232"/>
      <c r="L17" s="103" t="s">
        <v>14</v>
      </c>
      <c r="M17" s="104" t="s">
        <v>15</v>
      </c>
      <c r="N17" s="215" t="s">
        <v>16</v>
      </c>
      <c r="P17" s="5"/>
    </row>
    <row r="18" spans="1:34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6" t="s">
        <v>29</v>
      </c>
    </row>
    <row r="19" spans="1:34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7"/>
    </row>
    <row r="20" spans="1:34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3501520.7199999997</v>
      </c>
      <c r="N20" s="115">
        <f>SUM(N21+N24+N26)</f>
        <v>3501520.7199999997</v>
      </c>
      <c r="O20" s="213" t="e">
        <f>+#REF!+#REF!+#REF!+#REF!+#REF!</f>
        <v>#REF!</v>
      </c>
    </row>
    <row r="21" spans="1:34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SUM(M22+M23)</f>
        <v>2924904.23</v>
      </c>
      <c r="N21" s="120">
        <f>SUM(N22+N23)</f>
        <v>2924904.23</v>
      </c>
      <c r="Q21" s="50"/>
    </row>
    <row r="22" spans="1:34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2194904.23</v>
      </c>
      <c r="N22" s="122">
        <f>+M22</f>
        <v>2194904.23</v>
      </c>
    </row>
    <row r="23" spans="1:34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v>730000</v>
      </c>
      <c r="P23" s="124"/>
      <c r="T23" s="3"/>
    </row>
    <row r="24" spans="1:34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169600</v>
      </c>
      <c r="N24" s="125">
        <v>169600</v>
      </c>
      <c r="R24">
        <f>5000-4130</f>
        <v>870</v>
      </c>
    </row>
    <row r="25" spans="1:34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169600</v>
      </c>
      <c r="N25" s="122">
        <f>+M25</f>
        <v>169600</v>
      </c>
      <c r="R25" s="3"/>
      <c r="S25" s="3">
        <v>53000</v>
      </c>
      <c r="U25">
        <v>17127.55</v>
      </c>
      <c r="AE25">
        <v>1907050</v>
      </c>
      <c r="AG25">
        <v>2194904.23</v>
      </c>
      <c r="AH25">
        <v>1963551.02</v>
      </c>
    </row>
    <row r="26" spans="1:34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407016.48999999993</v>
      </c>
      <c r="N26" s="218">
        <f>SUM(N27+N28+N29)</f>
        <v>407016.48999999993</v>
      </c>
      <c r="Q26" s="132"/>
      <c r="S26" s="3">
        <v>2704850</v>
      </c>
      <c r="AE26">
        <v>0</v>
      </c>
      <c r="AG26">
        <v>841058.56</v>
      </c>
      <c r="AH26">
        <v>742189.38</v>
      </c>
    </row>
    <row r="27" spans="1:34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189804.27</v>
      </c>
      <c r="N27" s="123">
        <f>+M27</f>
        <v>189804.27</v>
      </c>
      <c r="Q27" s="59"/>
      <c r="S27" s="50"/>
      <c r="Z27" s="200" t="s">
        <v>43</v>
      </c>
      <c r="AA27" s="200" t="s">
        <v>202</v>
      </c>
      <c r="AB27" s="200" t="s">
        <v>203</v>
      </c>
      <c r="AE27" s="50">
        <v>50513.69</v>
      </c>
      <c r="AG27">
        <v>61103.7</v>
      </c>
      <c r="AH27">
        <v>50513.69</v>
      </c>
    </row>
    <row r="28" spans="1:34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190993.55</v>
      </c>
      <c r="N28" s="170">
        <f>+M28</f>
        <v>190993.55</v>
      </c>
      <c r="S28" s="50" t="e">
        <f>+S26-#REF!</f>
        <v>#REF!</v>
      </c>
      <c r="Z28">
        <v>3763</v>
      </c>
      <c r="AA28" s="3">
        <v>3757.7</v>
      </c>
      <c r="AB28" s="3">
        <v>7471.56</v>
      </c>
      <c r="AE28" s="50">
        <f>SUM(AE25:AE27)</f>
        <v>1957563.69</v>
      </c>
    </row>
    <row r="29" spans="1:34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26218.67</v>
      </c>
      <c r="N29" s="122">
        <f>+M29</f>
        <v>26218.67</v>
      </c>
      <c r="Q29" s="3"/>
      <c r="Z29">
        <v>51830</v>
      </c>
      <c r="AA29" s="3">
        <v>51757</v>
      </c>
      <c r="AB29" s="3">
        <v>583</v>
      </c>
    </row>
    <row r="30" spans="1:34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140</v>
      </c>
      <c r="M30" s="129">
        <f>+M31+M35+M38+M40+M42+M44+M46+M48</f>
        <v>3725090.75</v>
      </c>
      <c r="N30" s="129">
        <f>SUM(N31+N38+N42+N46+N48+N40)</f>
        <v>1107066.32</v>
      </c>
      <c r="Z30">
        <v>135400.54999999999</v>
      </c>
      <c r="AA30">
        <v>134289.57</v>
      </c>
      <c r="AB30">
        <v>18164.11</v>
      </c>
    </row>
    <row r="31" spans="1:34">
      <c r="A31" s="90"/>
      <c r="B31" s="91"/>
      <c r="C31" s="92"/>
      <c r="D31" s="93"/>
      <c r="E31" s="91"/>
      <c r="F31" s="91"/>
      <c r="H31" s="92"/>
      <c r="I31" s="91"/>
      <c r="J31" s="131">
        <v>2.1</v>
      </c>
      <c r="K31" s="91"/>
      <c r="L31" s="118" t="s">
        <v>141</v>
      </c>
      <c r="M31" s="129">
        <f>SUM(M32+M33+M34)</f>
        <v>204764.84</v>
      </c>
      <c r="N31" s="129">
        <f>SUM(N32+N33+N34)</f>
        <v>200911.87</v>
      </c>
      <c r="Z31">
        <v>0</v>
      </c>
      <c r="AA31" s="50">
        <v>0</v>
      </c>
      <c r="AB31" s="50">
        <v>0</v>
      </c>
    </row>
    <row r="32" spans="1:34">
      <c r="A32" s="90"/>
      <c r="B32" s="91"/>
      <c r="C32" s="92"/>
      <c r="D32" s="93"/>
      <c r="E32" s="91"/>
      <c r="F32" s="91"/>
      <c r="H32" s="92"/>
      <c r="I32" s="91"/>
      <c r="J32" s="91"/>
      <c r="K32" s="91" t="s">
        <v>149</v>
      </c>
      <c r="L32" s="121" t="s">
        <v>145</v>
      </c>
      <c r="M32" s="95">
        <v>126949.5</v>
      </c>
      <c r="N32" s="95">
        <f>+M32</f>
        <v>126949.5</v>
      </c>
      <c r="Z32">
        <f>SUM(Z28:Z31)</f>
        <v>190993.55</v>
      </c>
      <c r="AA32" s="50">
        <f>SUM(AA28:AA31)</f>
        <v>189804.27000000002</v>
      </c>
      <c r="AB32" s="285">
        <f>SUM(AB28:AB31)</f>
        <v>26218.670000000002</v>
      </c>
    </row>
    <row r="33" spans="1:33">
      <c r="A33" s="90"/>
      <c r="B33" s="91"/>
      <c r="C33" s="92"/>
      <c r="D33" s="93"/>
      <c r="E33" s="91"/>
      <c r="F33" s="91"/>
      <c r="H33" s="92"/>
      <c r="I33" s="91"/>
      <c r="J33" s="91"/>
      <c r="K33" s="91" t="s">
        <v>148</v>
      </c>
      <c r="L33" s="121" t="s">
        <v>146</v>
      </c>
      <c r="M33" s="95">
        <v>77059.34</v>
      </c>
      <c r="N33" s="95">
        <v>73206.37</v>
      </c>
      <c r="AG33" s="50">
        <f>+AE28+169600</f>
        <v>2127163.69</v>
      </c>
    </row>
    <row r="34" spans="1:33">
      <c r="A34" s="90"/>
      <c r="B34" s="91"/>
      <c r="C34" s="92"/>
      <c r="D34" s="93"/>
      <c r="E34" s="91"/>
      <c r="F34" s="91"/>
      <c r="H34" s="92"/>
      <c r="I34" s="91"/>
      <c r="J34" s="91"/>
      <c r="K34" s="91" t="s">
        <v>159</v>
      </c>
      <c r="L34" s="121" t="s">
        <v>132</v>
      </c>
      <c r="M34" s="283">
        <v>756</v>
      </c>
      <c r="N34" s="95">
        <v>756</v>
      </c>
      <c r="Z34">
        <f>135400.55+54732.34</f>
        <v>190132.88999999998</v>
      </c>
    </row>
    <row r="35" spans="1:33">
      <c r="A35" s="90"/>
      <c r="B35" s="91"/>
      <c r="C35" s="92"/>
      <c r="D35" s="93"/>
      <c r="E35" s="91"/>
      <c r="F35" s="91"/>
      <c r="H35" s="92"/>
      <c r="I35" s="91"/>
      <c r="J35" s="131">
        <v>2.2999999999999998</v>
      </c>
      <c r="K35" s="131"/>
      <c r="L35" s="118" t="s">
        <v>187</v>
      </c>
      <c r="M35" s="149">
        <f>+M36+M37</f>
        <v>2502722.31</v>
      </c>
      <c r="N35" s="149">
        <f>+N36+N37</f>
        <v>2502722.31</v>
      </c>
    </row>
    <row r="36" spans="1:33">
      <c r="A36" s="90"/>
      <c r="B36" s="91"/>
      <c r="C36" s="92"/>
      <c r="D36" s="93"/>
      <c r="E36" s="91"/>
      <c r="F36" s="91"/>
      <c r="H36" s="92"/>
      <c r="I36" s="91"/>
      <c r="J36" s="91"/>
      <c r="K36" s="195" t="s">
        <v>190</v>
      </c>
      <c r="L36" s="121" t="s">
        <v>186</v>
      </c>
      <c r="M36" s="95">
        <f>247268.71+58637.6</f>
        <v>305906.31</v>
      </c>
      <c r="N36" s="95">
        <f>+M36</f>
        <v>305906.31</v>
      </c>
    </row>
    <row r="37" spans="1:33">
      <c r="A37" s="90"/>
      <c r="B37" s="91"/>
      <c r="C37" s="92"/>
      <c r="D37" s="93"/>
      <c r="E37" s="91"/>
      <c r="F37" s="91"/>
      <c r="H37" s="92"/>
      <c r="I37" s="91"/>
      <c r="J37" s="91"/>
      <c r="K37" s="195" t="s">
        <v>189</v>
      </c>
      <c r="L37" s="121" t="s">
        <v>186</v>
      </c>
      <c r="M37" s="95">
        <v>2196816</v>
      </c>
      <c r="N37" s="95">
        <f>+M37</f>
        <v>2196816</v>
      </c>
    </row>
    <row r="38" spans="1:33">
      <c r="A38" s="90"/>
      <c r="B38" s="91"/>
      <c r="C38" s="92"/>
      <c r="D38" s="93"/>
      <c r="E38" s="91"/>
      <c r="F38" s="91"/>
      <c r="H38" s="92"/>
      <c r="I38" s="91"/>
      <c r="J38" s="131">
        <v>2.4</v>
      </c>
      <c r="K38" s="91"/>
      <c r="L38" s="126" t="s">
        <v>156</v>
      </c>
      <c r="M38" s="129">
        <f>+M39</f>
        <v>7400</v>
      </c>
      <c r="N38" s="129">
        <f>+N39</f>
        <v>7030</v>
      </c>
      <c r="AA38" s="3"/>
    </row>
    <row r="39" spans="1:33">
      <c r="A39" s="90"/>
      <c r="B39" s="91"/>
      <c r="C39" s="92"/>
      <c r="D39" s="93"/>
      <c r="E39" s="91"/>
      <c r="F39" s="91"/>
      <c r="H39" s="92"/>
      <c r="I39" s="91"/>
      <c r="J39" s="91"/>
      <c r="K39" s="195" t="s">
        <v>157</v>
      </c>
      <c r="L39" s="121" t="s">
        <v>158</v>
      </c>
      <c r="M39" s="283">
        <v>7400</v>
      </c>
      <c r="N39" s="95">
        <v>7030</v>
      </c>
      <c r="AA39" s="286">
        <f>+N28-Z32</f>
        <v>0</v>
      </c>
      <c r="AB39" s="50">
        <f>+M27-AA32</f>
        <v>0</v>
      </c>
      <c r="AC39">
        <v>91549.25</v>
      </c>
    </row>
    <row r="40" spans="1:33">
      <c r="A40" s="90"/>
      <c r="B40" s="91"/>
      <c r="C40" s="92"/>
      <c r="D40" s="93"/>
      <c r="E40" s="91"/>
      <c r="F40" s="91"/>
      <c r="H40" s="92"/>
      <c r="I40" s="91"/>
      <c r="J40" s="131">
        <v>2.5</v>
      </c>
      <c r="K40" s="195"/>
      <c r="L40" s="126" t="s">
        <v>147</v>
      </c>
      <c r="M40" s="129">
        <f>+M41</f>
        <v>563002.59</v>
      </c>
      <c r="N40" s="129">
        <f>+N41</f>
        <v>539146.55000000005</v>
      </c>
      <c r="AC40">
        <v>35400.25</v>
      </c>
    </row>
    <row r="41" spans="1:33">
      <c r="A41" s="90"/>
      <c r="B41" s="91"/>
      <c r="C41" s="92"/>
      <c r="D41" s="93"/>
      <c r="E41" s="91"/>
      <c r="F41" s="91"/>
      <c r="H41" s="92"/>
      <c r="I41" s="91"/>
      <c r="J41" s="91"/>
      <c r="K41" s="195"/>
      <c r="L41" s="121" t="s">
        <v>152</v>
      </c>
      <c r="M41" s="283">
        <v>563002.59</v>
      </c>
      <c r="N41" s="95">
        <v>539146.55000000005</v>
      </c>
      <c r="AA41" s="50"/>
      <c r="AC41">
        <f>+AC39+AC40</f>
        <v>126949.5</v>
      </c>
    </row>
    <row r="42" spans="1:33">
      <c r="A42" s="90"/>
      <c r="B42" s="91"/>
      <c r="C42" s="92"/>
      <c r="D42" s="93"/>
      <c r="E42" s="91"/>
      <c r="F42" s="91"/>
      <c r="H42" s="92"/>
      <c r="I42" s="91"/>
      <c r="J42" s="131">
        <v>2.6</v>
      </c>
      <c r="K42" s="91"/>
      <c r="L42" s="118" t="s">
        <v>50</v>
      </c>
      <c r="M42" s="129">
        <f>+M43</f>
        <v>368582.01</v>
      </c>
      <c r="N42" s="129">
        <f>+N43</f>
        <v>350152.9</v>
      </c>
      <c r="V42" s="3"/>
      <c r="AA42">
        <f>841058.56-730000</f>
        <v>111058.56000000006</v>
      </c>
    </row>
    <row r="43" spans="1:33">
      <c r="A43" s="90"/>
      <c r="B43" s="91"/>
      <c r="C43" s="92"/>
      <c r="D43" s="93"/>
      <c r="E43" s="91"/>
      <c r="F43" s="91"/>
      <c r="H43" s="92"/>
      <c r="I43" s="91"/>
      <c r="J43" s="91"/>
      <c r="K43" s="91">
        <v>6.3</v>
      </c>
      <c r="L43" s="121" t="s">
        <v>124</v>
      </c>
      <c r="M43" s="95">
        <f>273208.5+95373.51</f>
        <v>368582.01</v>
      </c>
      <c r="N43" s="95">
        <f>259548.07+90604.83</f>
        <v>350152.9</v>
      </c>
      <c r="V43" s="3"/>
      <c r="AE43" s="50"/>
    </row>
    <row r="44" spans="1:33">
      <c r="A44" s="90"/>
      <c r="B44" s="91"/>
      <c r="C44" s="92"/>
      <c r="D44" s="93"/>
      <c r="E44" s="91"/>
      <c r="F44" s="91"/>
      <c r="H44" s="92"/>
      <c r="I44" s="91"/>
      <c r="J44" s="131">
        <v>2.7</v>
      </c>
      <c r="K44" s="131"/>
      <c r="L44" s="284" t="s">
        <v>195</v>
      </c>
      <c r="M44" s="149">
        <f>+M45</f>
        <v>68794</v>
      </c>
      <c r="N44" s="149">
        <f>+N45</f>
        <v>65879</v>
      </c>
      <c r="V44" s="3"/>
      <c r="AE44" s="50"/>
    </row>
    <row r="45" spans="1:33">
      <c r="A45" s="90"/>
      <c r="B45" s="91"/>
      <c r="C45" s="92"/>
      <c r="D45" s="93"/>
      <c r="E45" s="91"/>
      <c r="F45" s="91"/>
      <c r="H45" s="92"/>
      <c r="I45" s="91"/>
      <c r="J45" s="91"/>
      <c r="K45" s="91" t="s">
        <v>197</v>
      </c>
      <c r="L45" s="121" t="s">
        <v>196</v>
      </c>
      <c r="M45" s="283">
        <v>68794</v>
      </c>
      <c r="N45" s="95">
        <v>65879</v>
      </c>
      <c r="V45" s="3"/>
      <c r="AE45" s="50"/>
    </row>
    <row r="46" spans="1:33">
      <c r="A46" s="90"/>
      <c r="B46" s="91"/>
      <c r="C46" s="92"/>
      <c r="D46" s="93"/>
      <c r="E46" s="91"/>
      <c r="F46" s="91"/>
      <c r="H46" s="92"/>
      <c r="I46" s="91"/>
      <c r="J46" s="91">
        <v>2.8</v>
      </c>
      <c r="K46" s="91"/>
      <c r="L46" s="118" t="s">
        <v>160</v>
      </c>
      <c r="M46" s="120">
        <f>+M47</f>
        <v>9500</v>
      </c>
      <c r="N46" s="120">
        <f>+N47</f>
        <v>9500</v>
      </c>
      <c r="V46" s="3"/>
      <c r="AA46">
        <f>3612579.28-346237.79</f>
        <v>3266341.4899999998</v>
      </c>
    </row>
    <row r="47" spans="1:33">
      <c r="A47" s="90"/>
      <c r="B47" s="91"/>
      <c r="C47" s="92"/>
      <c r="D47" s="93"/>
      <c r="E47" s="91"/>
      <c r="F47" s="91"/>
      <c r="H47" s="92"/>
      <c r="I47" s="91"/>
      <c r="J47" s="91"/>
      <c r="K47" s="91" t="s">
        <v>198</v>
      </c>
      <c r="L47" s="121" t="s">
        <v>199</v>
      </c>
      <c r="M47" s="283">
        <v>9500</v>
      </c>
      <c r="N47" s="95">
        <v>9500</v>
      </c>
      <c r="T47" s="3"/>
    </row>
    <row r="48" spans="1:33">
      <c r="A48" s="90"/>
      <c r="B48" s="91"/>
      <c r="C48" s="92"/>
      <c r="D48" s="93"/>
      <c r="E48" s="91"/>
      <c r="F48" s="91"/>
      <c r="H48" s="92"/>
      <c r="I48" s="91"/>
      <c r="J48" s="91">
        <v>2.8</v>
      </c>
      <c r="K48" s="91"/>
      <c r="L48" s="118" t="s">
        <v>52</v>
      </c>
      <c r="M48" s="120">
        <v>325</v>
      </c>
      <c r="N48" s="120">
        <v>325</v>
      </c>
      <c r="R48" s="198">
        <v>120559.03999999999</v>
      </c>
      <c r="S48" s="3">
        <v>0</v>
      </c>
      <c r="U48" s="50">
        <f>+R48-S48</f>
        <v>120559.03999999999</v>
      </c>
      <c r="V48" s="201">
        <v>0.05</v>
      </c>
      <c r="W48" s="3">
        <f>+U48*V48</f>
        <v>6027.9520000000002</v>
      </c>
      <c r="X48" s="50">
        <f>+R48-W48</f>
        <v>114531.08799999999</v>
      </c>
    </row>
    <row r="49" spans="1:32">
      <c r="A49" s="90"/>
      <c r="B49" s="91"/>
      <c r="C49" s="92"/>
      <c r="D49" s="93"/>
      <c r="E49" s="91"/>
      <c r="F49" s="91"/>
      <c r="H49" s="92"/>
      <c r="I49" s="91"/>
      <c r="J49" s="91"/>
      <c r="K49" s="91" t="s">
        <v>53</v>
      </c>
      <c r="L49" s="121" t="s">
        <v>54</v>
      </c>
      <c r="M49" s="280">
        <v>325</v>
      </c>
      <c r="N49" s="156">
        <v>325</v>
      </c>
      <c r="R49" s="3">
        <v>1845.01</v>
      </c>
      <c r="S49">
        <f>1845.01*18%</f>
        <v>332.10179999999997</v>
      </c>
      <c r="U49" s="50">
        <f>+R49-S49</f>
        <v>1512.9082000000001</v>
      </c>
      <c r="V49" s="201">
        <f>+V48</f>
        <v>0.05</v>
      </c>
      <c r="W49" s="50">
        <v>92.67</v>
      </c>
      <c r="X49" s="50">
        <f>+R49-W49</f>
        <v>1752.34</v>
      </c>
    </row>
    <row r="50" spans="1:32">
      <c r="A50" s="90"/>
      <c r="B50" s="91"/>
      <c r="C50" s="92"/>
      <c r="D50" s="93"/>
      <c r="E50" s="91"/>
      <c r="F50" s="91"/>
      <c r="H50" s="92"/>
      <c r="I50" s="91">
        <v>2</v>
      </c>
      <c r="J50" s="91">
        <v>3</v>
      </c>
      <c r="K50" s="91"/>
      <c r="L50" s="118" t="s">
        <v>55</v>
      </c>
      <c r="M50" s="120">
        <f>+M51+M53+M55</f>
        <v>677011.13</v>
      </c>
      <c r="N50" s="120">
        <f>SUM(N51+N53)</f>
        <v>378528.01</v>
      </c>
      <c r="W50">
        <v>6553.38</v>
      </c>
    </row>
    <row r="51" spans="1:32">
      <c r="A51" s="90"/>
      <c r="B51" s="91"/>
      <c r="C51" s="92"/>
      <c r="D51" s="93"/>
      <c r="E51" s="91"/>
      <c r="F51" s="91"/>
      <c r="H51" s="92"/>
      <c r="I51" s="91"/>
      <c r="J51" s="91">
        <v>3.1</v>
      </c>
      <c r="K51" s="91"/>
      <c r="L51" s="118" t="s">
        <v>163</v>
      </c>
      <c r="M51" s="120">
        <f>+M52</f>
        <v>188132.49</v>
      </c>
      <c r="N51" s="120">
        <f>+N52</f>
        <v>179296.74000000002</v>
      </c>
    </row>
    <row r="52" spans="1:32">
      <c r="A52" s="90"/>
      <c r="B52" s="91"/>
      <c r="C52" s="92"/>
      <c r="D52" s="93"/>
      <c r="E52" s="91"/>
      <c r="F52" s="91"/>
      <c r="H52" s="92"/>
      <c r="I52" s="91"/>
      <c r="J52" s="91"/>
      <c r="K52" s="91" t="s">
        <v>164</v>
      </c>
      <c r="L52" s="194" t="s">
        <v>165</v>
      </c>
      <c r="M52" s="280">
        <f>174446.74+13685.75</f>
        <v>188132.49</v>
      </c>
      <c r="N52" s="156">
        <f>166247.73+13049.01</f>
        <v>179296.74000000002</v>
      </c>
      <c r="AB52">
        <v>7668443.3700000001</v>
      </c>
    </row>
    <row r="53" spans="1:32">
      <c r="A53" s="90"/>
      <c r="B53" s="91"/>
      <c r="C53" s="92"/>
      <c r="D53" s="93"/>
      <c r="E53" s="91"/>
      <c r="F53" s="91"/>
      <c r="H53" s="92"/>
      <c r="I53" s="91"/>
      <c r="J53" s="131">
        <v>3.7</v>
      </c>
      <c r="K53" s="131"/>
      <c r="L53" s="118" t="s">
        <v>60</v>
      </c>
      <c r="M53" s="120">
        <v>200000</v>
      </c>
      <c r="N53" s="120">
        <f>+N54</f>
        <v>199231.27</v>
      </c>
      <c r="T53" s="3"/>
      <c r="U53" s="3"/>
      <c r="AB53" s="50">
        <f>+AB52-M60</f>
        <v>-235179.22999999952</v>
      </c>
    </row>
    <row r="54" spans="1:32">
      <c r="A54" s="90"/>
      <c r="B54" s="91"/>
      <c r="C54" s="92"/>
      <c r="D54" s="93"/>
      <c r="E54" s="91"/>
      <c r="F54" s="91"/>
      <c r="H54" s="92"/>
      <c r="I54" s="91"/>
      <c r="J54" s="131"/>
      <c r="K54" s="131"/>
      <c r="L54" s="194" t="s">
        <v>62</v>
      </c>
      <c r="M54" s="280">
        <v>200000</v>
      </c>
      <c r="N54" s="156">
        <v>199231.27</v>
      </c>
      <c r="T54" s="3"/>
      <c r="U54" s="3"/>
    </row>
    <row r="55" spans="1:32">
      <c r="A55" s="90"/>
      <c r="B55" s="91"/>
      <c r="C55" s="92"/>
      <c r="D55" s="93"/>
      <c r="E55" s="91"/>
      <c r="F55" s="91"/>
      <c r="H55" s="92"/>
      <c r="I55" s="91"/>
      <c r="J55" s="131" t="s">
        <v>193</v>
      </c>
      <c r="K55" s="131"/>
      <c r="L55" s="284" t="s">
        <v>191</v>
      </c>
      <c r="M55" s="120">
        <f>+M57+M56</f>
        <v>288878.64</v>
      </c>
      <c r="N55" s="212">
        <f>+N57+N56</f>
        <v>276612.88</v>
      </c>
      <c r="T55" s="3"/>
      <c r="U55" s="3"/>
    </row>
    <row r="56" spans="1:32">
      <c r="A56" s="90"/>
      <c r="B56" s="91"/>
      <c r="C56" s="92"/>
      <c r="D56" s="93"/>
      <c r="E56" s="91"/>
      <c r="F56" s="91"/>
      <c r="H56" s="92"/>
      <c r="I56" s="91"/>
      <c r="J56" s="131"/>
      <c r="K56" s="131" t="s">
        <v>200</v>
      </c>
      <c r="L56" s="194" t="s">
        <v>201</v>
      </c>
      <c r="M56" s="203">
        <f>50905.2+52444.47+36727.5+25600.03</f>
        <v>165677.19999999998</v>
      </c>
      <c r="N56" s="223">
        <f>48748.2+50197.11+35171.25+24515.28</f>
        <v>158631.84</v>
      </c>
      <c r="T56" s="3"/>
      <c r="U56" s="3"/>
    </row>
    <row r="57" spans="1:32">
      <c r="A57" s="90"/>
      <c r="B57" s="91"/>
      <c r="C57" s="92"/>
      <c r="D57" s="93"/>
      <c r="E57" s="91"/>
      <c r="F57" s="91"/>
      <c r="H57" s="92"/>
      <c r="I57" s="91"/>
      <c r="J57" s="131"/>
      <c r="K57" s="131" t="s">
        <v>194</v>
      </c>
      <c r="L57" s="194" t="s">
        <v>192</v>
      </c>
      <c r="M57" s="278">
        <v>123201.44</v>
      </c>
      <c r="N57" s="223">
        <v>117981.04</v>
      </c>
      <c r="T57" s="3"/>
      <c r="U57" s="3"/>
    </row>
    <row r="58" spans="1:32">
      <c r="A58" s="90"/>
      <c r="B58" s="91"/>
      <c r="C58" s="92"/>
      <c r="D58" s="93"/>
      <c r="E58" s="91"/>
      <c r="F58" s="91"/>
      <c r="H58" s="92"/>
      <c r="I58" s="91"/>
      <c r="J58" s="131"/>
      <c r="K58" s="131"/>
      <c r="L58" s="118"/>
      <c r="M58" s="120"/>
      <c r="N58" s="212"/>
      <c r="Q58" s="50"/>
      <c r="T58" s="3"/>
      <c r="U58" s="3"/>
      <c r="W58" s="50" t="e">
        <f>6553.38-#REF!</f>
        <v>#REF!</v>
      </c>
    </row>
    <row r="59" spans="1:32">
      <c r="A59" s="221"/>
      <c r="B59" s="91"/>
      <c r="C59" s="91"/>
      <c r="D59" s="93"/>
      <c r="E59" s="91"/>
      <c r="F59" s="91"/>
      <c r="G59" s="91"/>
      <c r="I59" s="173"/>
      <c r="J59" s="91"/>
      <c r="K59" s="91"/>
      <c r="L59" s="194"/>
      <c r="M59" s="226"/>
      <c r="N59" s="226"/>
      <c r="P59" s="167"/>
      <c r="R59" s="3"/>
      <c r="T59" t="e">
        <f>SUM(#REF!)</f>
        <v>#REF!</v>
      </c>
      <c r="AE59" s="287">
        <v>9500</v>
      </c>
      <c r="AF59" s="3">
        <v>13682.75</v>
      </c>
    </row>
    <row r="60" spans="1:32">
      <c r="A60" s="134"/>
      <c r="B60" s="91"/>
      <c r="C60" s="91"/>
      <c r="D60" s="93"/>
      <c r="E60" s="91"/>
      <c r="F60" s="91"/>
      <c r="G60" s="91"/>
      <c r="I60" s="173"/>
      <c r="J60" s="91"/>
      <c r="K60" s="195"/>
      <c r="L60" s="194"/>
      <c r="M60" s="203">
        <f>SUM(M20+M30+M50)</f>
        <v>7903622.5999999996</v>
      </c>
      <c r="N60" s="227">
        <v>10368545</v>
      </c>
      <c r="P60" s="167"/>
      <c r="R60" s="3"/>
      <c r="AA60">
        <v>173018.74</v>
      </c>
      <c r="AE60" s="287">
        <v>200000</v>
      </c>
      <c r="AF60" s="3">
        <v>58637.599999999999</v>
      </c>
    </row>
    <row r="61" spans="1:32">
      <c r="A61" s="134"/>
      <c r="B61" s="91"/>
      <c r="C61" s="91"/>
      <c r="D61" s="93"/>
      <c r="E61" s="91"/>
      <c r="F61" s="91"/>
      <c r="G61" s="91"/>
      <c r="I61" s="173"/>
      <c r="J61" s="91"/>
      <c r="K61" s="195"/>
      <c r="L61" s="194" t="s">
        <v>173</v>
      </c>
      <c r="M61" s="203"/>
      <c r="N61" s="223">
        <v>259020</v>
      </c>
      <c r="P61" s="167"/>
      <c r="R61" s="3"/>
      <c r="AA61">
        <v>186589.12</v>
      </c>
      <c r="AE61" s="3">
        <v>2194904.23</v>
      </c>
      <c r="AF61" s="3">
        <v>2196816</v>
      </c>
    </row>
    <row r="62" spans="1:32">
      <c r="A62" s="134"/>
      <c r="B62" s="91"/>
      <c r="C62" s="91"/>
      <c r="D62" s="93"/>
      <c r="E62" s="91"/>
      <c r="F62" s="91"/>
      <c r="G62" s="91"/>
      <c r="I62" s="173"/>
      <c r="J62" s="91"/>
      <c r="K62" s="91"/>
      <c r="L62" s="118"/>
      <c r="M62" s="120"/>
      <c r="N62" s="212"/>
      <c r="P62" s="167"/>
      <c r="R62" s="3"/>
      <c r="AA62">
        <v>1690</v>
      </c>
      <c r="AE62" s="3">
        <v>841058.56</v>
      </c>
      <c r="AF62" s="3">
        <v>174446.74</v>
      </c>
    </row>
    <row r="63" spans="1:32">
      <c r="A63" s="134"/>
      <c r="B63" s="210"/>
      <c r="C63" s="210"/>
      <c r="D63" s="211"/>
      <c r="E63" s="210"/>
      <c r="F63" s="210"/>
      <c r="G63" s="210"/>
      <c r="H63" s="175"/>
      <c r="I63" s="185"/>
      <c r="J63" s="210"/>
      <c r="K63" s="210"/>
      <c r="L63" s="224"/>
      <c r="M63" s="225" t="e">
        <f>SUM(M20+M30+M50+#REF!)</f>
        <v>#REF!</v>
      </c>
      <c r="N63" s="225">
        <f>SUM(N60+N61)</f>
        <v>10627565</v>
      </c>
      <c r="P63" s="167"/>
      <c r="Q63" s="50" t="e">
        <f>+#REF!-#REF!</f>
        <v>#REF!</v>
      </c>
      <c r="AA63">
        <f>SUM(AA60:AA62)</f>
        <v>361297.86</v>
      </c>
      <c r="AE63" s="3">
        <v>169600</v>
      </c>
      <c r="AF63" s="3">
        <v>563002.59</v>
      </c>
    </row>
    <row r="64" spans="1:32">
      <c r="A64" s="134"/>
      <c r="D64" s="135"/>
      <c r="L64" s="222"/>
      <c r="M64" s="141"/>
      <c r="N64" s="141"/>
      <c r="P64" s="167"/>
      <c r="AE64" s="3">
        <v>36727.5</v>
      </c>
      <c r="AF64" s="3">
        <v>7400</v>
      </c>
    </row>
    <row r="65" spans="1:32">
      <c r="A65" s="134"/>
      <c r="D65" s="135"/>
      <c r="L65" s="140"/>
      <c r="M65" s="189"/>
      <c r="N65" s="189"/>
      <c r="P65" s="167"/>
      <c r="R65" s="3"/>
      <c r="AE65" s="3">
        <v>52444.47</v>
      </c>
      <c r="AF65" s="3">
        <v>273208.5</v>
      </c>
    </row>
    <row r="66" spans="1:32">
      <c r="A66" s="208"/>
      <c r="B66" s="209"/>
      <c r="D66" s="135"/>
      <c r="L66" s="140"/>
      <c r="M66" s="141"/>
      <c r="N66" s="141"/>
      <c r="P66" s="167"/>
      <c r="Q66" s="50"/>
      <c r="AE66" s="3">
        <v>61103.7</v>
      </c>
      <c r="AF66" s="3">
        <v>95373.51</v>
      </c>
    </row>
    <row r="67" spans="1:32">
      <c r="J67" s="143"/>
      <c r="L67" s="140"/>
      <c r="M67" s="142"/>
      <c r="N67" s="144"/>
      <c r="O67" s="95"/>
      <c r="Z67" s="50">
        <f>+M60-AC74</f>
        <v>235182.23000000045</v>
      </c>
      <c r="AE67" s="287">
        <v>123201.44</v>
      </c>
      <c r="AF67" s="3">
        <v>756</v>
      </c>
    </row>
    <row r="68" spans="1:32">
      <c r="J68" s="143"/>
      <c r="L68" s="140"/>
      <c r="M68" s="141"/>
      <c r="N68" s="144"/>
      <c r="O68" s="95"/>
      <c r="AE68" s="3">
        <f>SUM(AE59:AE67)</f>
        <v>3688539.9000000004</v>
      </c>
      <c r="AF68" s="3">
        <v>68794</v>
      </c>
    </row>
    <row r="69" spans="1:32">
      <c r="J69" s="143"/>
      <c r="L69" s="126"/>
      <c r="M69" s="142"/>
      <c r="N69" s="144"/>
      <c r="O69" s="95"/>
      <c r="AF69" s="3">
        <v>25600.03</v>
      </c>
    </row>
    <row r="70" spans="1:32">
      <c r="J70" s="143"/>
      <c r="L70" s="140"/>
      <c r="M70" s="142"/>
      <c r="N70" s="144"/>
      <c r="O70" s="95"/>
      <c r="R70" s="50"/>
      <c r="AF70" s="3">
        <v>77059.34</v>
      </c>
    </row>
    <row r="71" spans="1:32">
      <c r="J71" s="143"/>
      <c r="L71" s="140"/>
      <c r="M71" s="141"/>
      <c r="N71" s="145"/>
      <c r="O71" s="95"/>
      <c r="AF71" s="3">
        <v>91549.25</v>
      </c>
    </row>
    <row r="72" spans="1:32">
      <c r="J72" s="143"/>
      <c r="L72" s="140"/>
      <c r="M72" s="141"/>
      <c r="N72" s="145"/>
      <c r="O72" s="95"/>
      <c r="AF72" s="3">
        <v>35400.25</v>
      </c>
    </row>
    <row r="73" spans="1:32">
      <c r="J73" s="143"/>
      <c r="L73" s="126"/>
      <c r="M73" s="142"/>
      <c r="N73" s="145"/>
      <c r="O73" s="95"/>
      <c r="AF73" s="3">
        <v>247268.71</v>
      </c>
    </row>
    <row r="74" spans="1:32">
      <c r="J74" s="143"/>
      <c r="L74" s="140"/>
      <c r="M74" s="141"/>
      <c r="N74" s="145"/>
      <c r="O74" s="95"/>
      <c r="AC74" s="50">
        <f>+AE68+AF75</f>
        <v>7668440.3699999992</v>
      </c>
      <c r="AF74" s="3">
        <v>50905.2</v>
      </c>
    </row>
    <row r="75" spans="1:32">
      <c r="J75" s="143"/>
      <c r="L75" s="140"/>
      <c r="M75" s="142"/>
      <c r="N75" s="144"/>
      <c r="O75" s="95"/>
      <c r="AF75" s="3">
        <f>SUM(AF59:AF74)</f>
        <v>3979900.4699999993</v>
      </c>
    </row>
    <row r="76" spans="1:32">
      <c r="J76" s="143"/>
      <c r="L76" s="126"/>
      <c r="M76" s="142"/>
      <c r="N76" s="145"/>
      <c r="O76" s="95"/>
    </row>
    <row r="77" spans="1:32">
      <c r="J77" s="143"/>
      <c r="K77" s="146"/>
      <c r="L77" s="140"/>
      <c r="M77" s="141"/>
      <c r="N77" s="142"/>
      <c r="O77" s="95"/>
    </row>
    <row r="78" spans="1:32">
      <c r="J78" s="143"/>
      <c r="L78" s="140"/>
      <c r="M78" s="141"/>
      <c r="N78" s="145"/>
      <c r="O78" s="95"/>
    </row>
    <row r="79" spans="1:32">
      <c r="J79" s="143"/>
      <c r="L79" s="140"/>
      <c r="M79" s="144"/>
      <c r="N79" s="145"/>
      <c r="O79" s="95"/>
    </row>
    <row r="80" spans="1:32">
      <c r="J80" s="143"/>
      <c r="L80" s="140"/>
      <c r="M80" s="141"/>
      <c r="N80" s="144"/>
      <c r="O80" s="95"/>
    </row>
    <row r="81" spans="10:16">
      <c r="J81" s="143"/>
      <c r="L81" s="140"/>
      <c r="M81" s="141"/>
      <c r="N81" s="145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26"/>
      <c r="M84" s="141"/>
      <c r="N84" s="145"/>
      <c r="O84" s="95"/>
    </row>
    <row r="85" spans="10:16">
      <c r="J85" s="143"/>
      <c r="L85" s="140"/>
      <c r="M85" s="141"/>
      <c r="N85" s="145"/>
      <c r="O85" s="95"/>
    </row>
    <row r="86" spans="10:16">
      <c r="J86" s="143"/>
      <c r="L86" s="126"/>
      <c r="M86" s="141"/>
      <c r="N86" s="145"/>
      <c r="O86" s="95"/>
    </row>
    <row r="87" spans="10:16">
      <c r="J87" s="143"/>
      <c r="L87" s="126"/>
      <c r="M87" s="142"/>
      <c r="N87" s="145"/>
      <c r="O87" s="95"/>
    </row>
    <row r="88" spans="10:16">
      <c r="J88" s="143"/>
      <c r="L88" s="126"/>
      <c r="M88" s="142"/>
      <c r="N88" s="144"/>
      <c r="O88" s="95"/>
    </row>
    <row r="89" spans="10:16">
      <c r="J89" s="143"/>
      <c r="L89" s="140"/>
      <c r="M89" s="142"/>
      <c r="N89" s="144"/>
      <c r="O89" s="141"/>
      <c r="P89" s="141"/>
    </row>
    <row r="90" spans="10:16">
      <c r="J90" s="143"/>
      <c r="L90" s="140"/>
      <c r="M90" s="142"/>
      <c r="N90" s="144"/>
      <c r="O90" s="141"/>
      <c r="P90" s="141"/>
    </row>
    <row r="91" spans="10:16">
      <c r="J91" s="147"/>
      <c r="L91" s="140"/>
      <c r="M91" s="148"/>
      <c r="N91" s="142"/>
      <c r="O91" s="141"/>
      <c r="P91" s="141"/>
    </row>
    <row r="92" spans="10:16">
      <c r="J92" s="147"/>
      <c r="L92" s="140"/>
      <c r="M92" s="142"/>
      <c r="N92" s="148"/>
      <c r="O92" s="141"/>
      <c r="P92" s="141"/>
    </row>
    <row r="93" spans="10:16">
      <c r="J93" s="143"/>
      <c r="L93" s="126"/>
      <c r="M93" s="142"/>
      <c r="N93" s="142"/>
      <c r="O93" s="141"/>
      <c r="P93" s="141"/>
    </row>
    <row r="94" spans="10:16">
      <c r="J94" s="143"/>
      <c r="L94" s="140"/>
      <c r="M94" s="141"/>
      <c r="N94" s="142"/>
      <c r="O94" s="141"/>
      <c r="P94" s="141"/>
    </row>
    <row r="95" spans="10:16">
      <c r="J95" s="143"/>
      <c r="L95" s="140"/>
      <c r="M95" s="141"/>
      <c r="N95" s="142"/>
      <c r="O95" s="95"/>
    </row>
    <row r="96" spans="10:16">
      <c r="J96" s="143"/>
      <c r="L96" s="126"/>
      <c r="M96" s="142"/>
      <c r="N96" s="141"/>
      <c r="O96" s="95"/>
    </row>
    <row r="97" spans="10:17">
      <c r="L97" s="140"/>
      <c r="M97" s="142"/>
      <c r="N97" s="142"/>
      <c r="O97" s="95"/>
    </row>
    <row r="98" spans="10:17">
      <c r="L98" s="140"/>
      <c r="M98" s="141"/>
      <c r="N98" s="142"/>
      <c r="O98" s="95"/>
    </row>
    <row r="99" spans="10:17">
      <c r="L99" s="126"/>
      <c r="M99" s="141"/>
      <c r="N99" s="141"/>
      <c r="O99" s="95"/>
    </row>
    <row r="100" spans="10:17">
      <c r="L100" s="140"/>
      <c r="M100" s="142"/>
      <c r="N100" s="95"/>
      <c r="O100" s="95"/>
    </row>
    <row r="101" spans="10:17">
      <c r="L101" s="126"/>
      <c r="M101" s="149"/>
      <c r="N101" s="142"/>
      <c r="O101" s="95"/>
    </row>
    <row r="102" spans="10:17">
      <c r="L102" s="126"/>
      <c r="M102" s="95"/>
      <c r="N102" s="149"/>
      <c r="O102" s="95"/>
    </row>
    <row r="103" spans="10:17">
      <c r="L103" s="140"/>
      <c r="M103" s="95"/>
      <c r="N103" s="149"/>
      <c r="O103" s="95"/>
    </row>
    <row r="104" spans="10:17">
      <c r="L104" s="140"/>
      <c r="M104" s="149"/>
      <c r="N104" s="95"/>
      <c r="O104" s="95"/>
    </row>
    <row r="105" spans="10:17">
      <c r="L105" s="140"/>
      <c r="M105" s="149"/>
      <c r="N105" s="149"/>
      <c r="O105" s="95"/>
    </row>
    <row r="106" spans="10:17">
      <c r="L106" s="140"/>
      <c r="M106" s="149"/>
      <c r="N106" s="149"/>
      <c r="O106" s="95"/>
    </row>
    <row r="107" spans="10:17">
      <c r="L107" s="140"/>
      <c r="M107" s="95"/>
      <c r="N107" s="149"/>
      <c r="O107" s="95"/>
    </row>
    <row r="108" spans="10:17">
      <c r="L108" s="140"/>
      <c r="M108" s="95"/>
      <c r="N108" s="149"/>
      <c r="O108" s="140"/>
      <c r="P108" s="95"/>
      <c r="Q108" s="95"/>
    </row>
    <row r="109" spans="10:17">
      <c r="L109" s="140"/>
      <c r="M109" s="149"/>
      <c r="N109" s="95"/>
      <c r="O109" s="95"/>
    </row>
    <row r="110" spans="10:17">
      <c r="J110" s="143"/>
      <c r="L110" s="140"/>
      <c r="M110" s="149"/>
      <c r="N110" s="149"/>
      <c r="O110" s="95"/>
    </row>
    <row r="111" spans="10:17">
      <c r="J111" s="143"/>
      <c r="L111" s="140"/>
      <c r="M111" s="149"/>
      <c r="N111" s="149"/>
      <c r="O111" s="95"/>
    </row>
    <row r="112" spans="10:17">
      <c r="L112" s="140"/>
      <c r="M112" s="95"/>
      <c r="N112" s="149"/>
      <c r="O112" s="95"/>
    </row>
    <row r="113" spans="1:15">
      <c r="L113" s="140"/>
      <c r="M113" s="149"/>
      <c r="N113" s="95"/>
      <c r="O113" s="95"/>
    </row>
    <row r="114" spans="1:15">
      <c r="L114" s="140"/>
      <c r="M114" s="95"/>
      <c r="N114" s="149"/>
      <c r="O114" s="95"/>
    </row>
    <row r="115" spans="1:15">
      <c r="L115" s="140"/>
      <c r="M115" s="95"/>
      <c r="N115" s="95"/>
      <c r="O115" s="95"/>
    </row>
    <row r="116" spans="1:15">
      <c r="J116" s="143"/>
      <c r="L116" s="140"/>
      <c r="M116" s="95"/>
      <c r="N116" s="95"/>
      <c r="O116" s="95"/>
    </row>
    <row r="117" spans="1:15">
      <c r="K117" s="143"/>
      <c r="M117" s="149"/>
      <c r="N117" s="95"/>
      <c r="O117" s="95"/>
    </row>
    <row r="118" spans="1:15">
      <c r="J118" s="143"/>
      <c r="K118" s="143"/>
      <c r="M118" s="95"/>
      <c r="N118" s="149"/>
      <c r="O118" s="95"/>
    </row>
    <row r="119" spans="1:15">
      <c r="K119" s="143"/>
      <c r="M119" s="149"/>
      <c r="N119" s="95"/>
      <c r="O119" s="95"/>
    </row>
    <row r="120" spans="1:15">
      <c r="A120" t="s">
        <v>67</v>
      </c>
      <c r="M120" s="149"/>
      <c r="N120" s="149"/>
    </row>
    <row r="121" spans="1:15">
      <c r="M121" s="95"/>
      <c r="N121" s="149"/>
    </row>
    <row r="122" spans="1:15">
      <c r="M122" s="95"/>
      <c r="N122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B087-92A4-4227-914A-3A9E4696DBDE}">
  <dimension ref="A8:AH122"/>
  <sheetViews>
    <sheetView topLeftCell="A28" zoomScaleNormal="100" zoomScaleSheetLayoutView="100" workbookViewId="0">
      <selection activeCell="AM2" sqref="AM2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  <col min="25" max="25" width="12.85546875" hidden="1" customWidth="1"/>
    <col min="26" max="26" width="14" hidden="1" customWidth="1"/>
    <col min="27" max="27" width="15.7109375" hidden="1" customWidth="1"/>
    <col min="28" max="28" width="15.28515625" hidden="1" customWidth="1"/>
    <col min="29" max="33" width="12.85546875" hidden="1" customWidth="1"/>
    <col min="34" max="35" width="0" hidden="1" customWidth="1"/>
  </cols>
  <sheetData>
    <row r="8" spans="1:30" ht="13.5" thickBot="1"/>
    <row r="9" spans="1:30">
      <c r="A9" s="248" t="s">
        <v>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49"/>
      <c r="O9" s="4"/>
      <c r="P9" s="5"/>
    </row>
    <row r="10" spans="1:30" ht="15">
      <c r="A10" s="250" t="s">
        <v>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51"/>
      <c r="O10" s="94"/>
      <c r="P10" s="5"/>
    </row>
    <row r="11" spans="1:30" ht="15">
      <c r="A11" s="219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9" t="s">
        <v>2</v>
      </c>
      <c r="N11" s="252"/>
      <c r="O11" s="94"/>
      <c r="P11" s="5"/>
    </row>
    <row r="12" spans="1:30" ht="15">
      <c r="A12" s="220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1" t="s">
        <v>5</v>
      </c>
      <c r="N12" s="253"/>
      <c r="O12" s="97"/>
      <c r="P12" s="5"/>
      <c r="AD12">
        <v>1963551.02</v>
      </c>
    </row>
    <row r="13" spans="1:30" ht="15">
      <c r="A13" s="220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4"/>
      <c r="O13" s="96"/>
      <c r="P13" s="5"/>
      <c r="AD13">
        <v>50513.69</v>
      </c>
    </row>
    <row r="14" spans="1:30" ht="15">
      <c r="A14" s="220" t="s">
        <v>176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4"/>
      <c r="O14" s="96"/>
      <c r="P14" s="5"/>
      <c r="AD14">
        <f>SUM(AD12:AD13)</f>
        <v>2014064.71</v>
      </c>
    </row>
    <row r="15" spans="1:30" ht="15">
      <c r="A15" s="220" t="s">
        <v>139</v>
      </c>
      <c r="B15" s="77"/>
      <c r="C15" s="77"/>
      <c r="D15" s="77"/>
      <c r="M15" s="98" t="s">
        <v>9</v>
      </c>
      <c r="N15" s="214"/>
      <c r="O15" s="99"/>
      <c r="P15" s="5"/>
    </row>
    <row r="16" spans="1:30">
      <c r="A16" s="243" t="s">
        <v>10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5"/>
      <c r="L16" s="246" t="s">
        <v>11</v>
      </c>
      <c r="M16" s="246"/>
      <c r="N16" s="254"/>
      <c r="P16" s="5"/>
    </row>
    <row r="17" spans="1:34">
      <c r="A17" s="228" t="s">
        <v>12</v>
      </c>
      <c r="B17" s="229"/>
      <c r="C17" s="228"/>
      <c r="D17" s="228"/>
      <c r="E17" s="228"/>
      <c r="F17" s="228"/>
      <c r="G17" s="228"/>
      <c r="H17" s="228"/>
      <c r="I17" s="230" t="s">
        <v>13</v>
      </c>
      <c r="J17" s="231"/>
      <c r="K17" s="232"/>
      <c r="L17" s="103" t="s">
        <v>14</v>
      </c>
      <c r="M17" s="104" t="s">
        <v>15</v>
      </c>
      <c r="N17" s="215" t="s">
        <v>16</v>
      </c>
      <c r="P17" s="5"/>
    </row>
    <row r="18" spans="1:34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6" t="s">
        <v>29</v>
      </c>
    </row>
    <row r="19" spans="1:34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7"/>
      <c r="Y19">
        <v>2256007.9300000002</v>
      </c>
    </row>
    <row r="20" spans="1:34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3266666.4599999995</v>
      </c>
      <c r="N20" s="115">
        <f>SUM(N21+N24+N26)</f>
        <v>2925806.84</v>
      </c>
      <c r="O20" s="213" t="e">
        <f>+#REF!+#REF!+#REF!+#REF!+#REF!</f>
        <v>#REF!</v>
      </c>
      <c r="Y20">
        <v>841058.56</v>
      </c>
    </row>
    <row r="21" spans="1:34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+M22+M23</f>
        <v>2690049.9699999997</v>
      </c>
      <c r="N21" s="120">
        <f>SUM(N22+N23)</f>
        <v>2349237.6</v>
      </c>
      <c r="Q21" s="50"/>
      <c r="Y21">
        <v>169600</v>
      </c>
      <c r="AB21">
        <f>+Z30+Z28</f>
        <v>139163.54999999999</v>
      </c>
    </row>
    <row r="22" spans="1:34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289">
        <v>1960049.97</v>
      </c>
      <c r="N22" s="122">
        <v>1718106.78</v>
      </c>
      <c r="Y22">
        <v>9500</v>
      </c>
    </row>
    <row r="23" spans="1:34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v>631130.81999999995</v>
      </c>
      <c r="P23" s="124"/>
      <c r="T23" s="3"/>
      <c r="Y23">
        <v>325</v>
      </c>
    </row>
    <row r="24" spans="1:34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169600</v>
      </c>
      <c r="N24" s="125">
        <f>+N25</f>
        <v>169552.75</v>
      </c>
      <c r="R24">
        <f>5000-4130</f>
        <v>870</v>
      </c>
      <c r="Y24">
        <v>174446.74</v>
      </c>
      <c r="AD24" s="3">
        <f>1963551.02+50513.69</f>
        <v>2014064.71</v>
      </c>
    </row>
    <row r="25" spans="1:34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169600</v>
      </c>
      <c r="N25" s="122">
        <v>169552.75</v>
      </c>
      <c r="R25" s="3"/>
      <c r="S25" s="3">
        <v>53000</v>
      </c>
      <c r="U25">
        <v>17127.55</v>
      </c>
      <c r="Y25">
        <v>200000</v>
      </c>
      <c r="AE25">
        <v>1907050</v>
      </c>
      <c r="AG25">
        <v>2194904.23</v>
      </c>
      <c r="AH25">
        <v>1963551.02</v>
      </c>
    </row>
    <row r="26" spans="1:34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407016.48999999993</v>
      </c>
      <c r="N26" s="218">
        <f>SUM(N27+N28+N29)</f>
        <v>407016.48999999993</v>
      </c>
      <c r="Q26" s="132"/>
      <c r="S26" s="3">
        <v>2704850</v>
      </c>
      <c r="Y26">
        <v>89171.97</v>
      </c>
      <c r="AE26">
        <v>0</v>
      </c>
      <c r="AG26">
        <v>841058.56</v>
      </c>
      <c r="AH26">
        <v>742189.38</v>
      </c>
    </row>
    <row r="27" spans="1:34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190993.55</v>
      </c>
      <c r="N27" s="123">
        <f>+M27</f>
        <v>190993.55</v>
      </c>
      <c r="Q27" s="59"/>
      <c r="S27" s="50"/>
      <c r="Z27" s="200" t="s">
        <v>43</v>
      </c>
      <c r="AA27" s="200" t="s">
        <v>202</v>
      </c>
      <c r="AB27" s="200" t="s">
        <v>203</v>
      </c>
      <c r="AE27" s="50">
        <v>50513.69</v>
      </c>
      <c r="AG27">
        <v>61103.7</v>
      </c>
      <c r="AH27">
        <v>50513.69</v>
      </c>
    </row>
    <row r="28" spans="1:34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189804.27</v>
      </c>
      <c r="N28" s="170">
        <f>+M28</f>
        <v>189804.27</v>
      </c>
      <c r="S28" s="50" t="e">
        <f>+S26-#REF!</f>
        <v>#REF!</v>
      </c>
      <c r="Z28">
        <v>3763</v>
      </c>
      <c r="AA28" s="3">
        <v>3757.7</v>
      </c>
      <c r="AB28" s="3">
        <v>7471.56</v>
      </c>
      <c r="AE28" s="50">
        <f>SUM(AE25:AE27)</f>
        <v>1957563.69</v>
      </c>
    </row>
    <row r="29" spans="1:34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26218.67</v>
      </c>
      <c r="N29" s="122">
        <f>+M29</f>
        <v>26218.67</v>
      </c>
      <c r="Q29" s="3"/>
      <c r="Z29">
        <v>51830</v>
      </c>
      <c r="AA29" s="3">
        <v>51757</v>
      </c>
      <c r="AB29" s="3">
        <v>583</v>
      </c>
    </row>
    <row r="30" spans="1:34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140</v>
      </c>
      <c r="M30" s="129">
        <f>+M31+M35+M38+M40+M42+M44+M46+M48</f>
        <v>3724765.75</v>
      </c>
      <c r="N30" s="129">
        <f>SUM(N31+N38+N42+N46+N48+N40+N35+N44)</f>
        <v>3675342.63</v>
      </c>
      <c r="Z30">
        <v>135400.54999999999</v>
      </c>
      <c r="AA30">
        <v>134289.57</v>
      </c>
      <c r="AB30">
        <v>18164.11</v>
      </c>
    </row>
    <row r="31" spans="1:34">
      <c r="A31" s="90"/>
      <c r="B31" s="91"/>
      <c r="C31" s="92"/>
      <c r="D31" s="93"/>
      <c r="E31" s="91"/>
      <c r="F31" s="91"/>
      <c r="H31" s="92"/>
      <c r="I31" s="91"/>
      <c r="J31" s="131">
        <v>2.1</v>
      </c>
      <c r="K31" s="91"/>
      <c r="L31" s="118" t="s">
        <v>141</v>
      </c>
      <c r="M31" s="129">
        <f>SUM(M32+M33+M34)</f>
        <v>204764.84</v>
      </c>
      <c r="N31" s="129">
        <f>SUM(N32+N33+N34)</f>
        <v>200911.87</v>
      </c>
      <c r="Z31">
        <v>0</v>
      </c>
      <c r="AA31" s="50">
        <v>0</v>
      </c>
      <c r="AB31" s="50">
        <v>0</v>
      </c>
    </row>
    <row r="32" spans="1:34">
      <c r="A32" s="90"/>
      <c r="B32" s="91"/>
      <c r="C32" s="92"/>
      <c r="D32" s="93"/>
      <c r="E32" s="91"/>
      <c r="F32" s="91"/>
      <c r="H32" s="92"/>
      <c r="I32" s="91"/>
      <c r="J32" s="91"/>
      <c r="K32" s="91" t="s">
        <v>149</v>
      </c>
      <c r="L32" s="121" t="s">
        <v>145</v>
      </c>
      <c r="M32" s="95">
        <f>91549.25+35400.25</f>
        <v>126949.5</v>
      </c>
      <c r="N32" s="95">
        <f>+M32</f>
        <v>126949.5</v>
      </c>
      <c r="Z32">
        <f>SUM(Z28:Z31)</f>
        <v>190993.55</v>
      </c>
      <c r="AA32" s="50">
        <f>SUM(AA28:AA31)</f>
        <v>189804.27000000002</v>
      </c>
      <c r="AB32" s="285">
        <f>SUM(AB28:AB31)</f>
        <v>26218.670000000002</v>
      </c>
    </row>
    <row r="33" spans="1:33">
      <c r="A33" s="90"/>
      <c r="B33" s="91"/>
      <c r="C33" s="92"/>
      <c r="D33" s="93"/>
      <c r="E33" s="91"/>
      <c r="F33" s="91"/>
      <c r="H33" s="92"/>
      <c r="I33" s="91"/>
      <c r="J33" s="91"/>
      <c r="K33" s="91" t="s">
        <v>148</v>
      </c>
      <c r="L33" s="121" t="s">
        <v>146</v>
      </c>
      <c r="M33" s="95">
        <v>77059.34</v>
      </c>
      <c r="N33" s="95">
        <v>73206.37</v>
      </c>
      <c r="AG33" s="50">
        <f>+AE28+169600</f>
        <v>2127163.69</v>
      </c>
    </row>
    <row r="34" spans="1:33">
      <c r="A34" s="90"/>
      <c r="B34" s="91"/>
      <c r="C34" s="92"/>
      <c r="D34" s="93"/>
      <c r="E34" s="91"/>
      <c r="F34" s="91"/>
      <c r="H34" s="92"/>
      <c r="I34" s="91"/>
      <c r="J34" s="91"/>
      <c r="K34" s="91" t="s">
        <v>159</v>
      </c>
      <c r="L34" s="121" t="s">
        <v>132</v>
      </c>
      <c r="M34" s="95">
        <v>756</v>
      </c>
      <c r="N34" s="95">
        <v>756</v>
      </c>
      <c r="Y34" s="50">
        <f>+M22+139163.52</f>
        <v>2099213.4899999998</v>
      </c>
      <c r="Z34">
        <f>135400.55+54732.34</f>
        <v>190132.88999999998</v>
      </c>
    </row>
    <row r="35" spans="1:33">
      <c r="A35" s="90"/>
      <c r="B35" s="91"/>
      <c r="C35" s="92"/>
      <c r="D35" s="93"/>
      <c r="E35" s="91"/>
      <c r="F35" s="91"/>
      <c r="H35" s="92"/>
      <c r="I35" s="91"/>
      <c r="J35" s="131">
        <v>2.2999999999999998</v>
      </c>
      <c r="K35" s="131"/>
      <c r="L35" s="118" t="s">
        <v>187</v>
      </c>
      <c r="M35" s="149">
        <f>+M36+M37</f>
        <v>2502722.31</v>
      </c>
      <c r="N35" s="149">
        <f>+N36+N37</f>
        <v>2502722.31</v>
      </c>
    </row>
    <row r="36" spans="1:33">
      <c r="A36" s="90"/>
      <c r="B36" s="91"/>
      <c r="C36" s="92"/>
      <c r="D36" s="93"/>
      <c r="E36" s="91"/>
      <c r="F36" s="91"/>
      <c r="H36" s="92"/>
      <c r="I36" s="91"/>
      <c r="J36" s="91"/>
      <c r="K36" s="195" t="s">
        <v>190</v>
      </c>
      <c r="L36" s="121" t="s">
        <v>186</v>
      </c>
      <c r="M36" s="95">
        <f>247268.71+58637.6</f>
        <v>305906.31</v>
      </c>
      <c r="N36" s="95">
        <f>+M36</f>
        <v>305906.31</v>
      </c>
    </row>
    <row r="37" spans="1:33">
      <c r="A37" s="90"/>
      <c r="B37" s="91"/>
      <c r="C37" s="92"/>
      <c r="D37" s="93"/>
      <c r="E37" s="91"/>
      <c r="F37" s="91"/>
      <c r="H37" s="92"/>
      <c r="I37" s="91"/>
      <c r="J37" s="91"/>
      <c r="K37" s="195" t="s">
        <v>204</v>
      </c>
      <c r="L37" s="194" t="s">
        <v>188</v>
      </c>
      <c r="M37" s="95">
        <v>2196816</v>
      </c>
      <c r="N37" s="95">
        <f>+M37</f>
        <v>2196816</v>
      </c>
      <c r="Z37" s="200" t="s">
        <v>206</v>
      </c>
      <c r="AA37">
        <f>+Z30+Z28</f>
        <v>139163.54999999999</v>
      </c>
      <c r="AB37" s="50">
        <f>+AA30+AA28</f>
        <v>138047.27000000002</v>
      </c>
      <c r="AC37" s="50">
        <f>+AB30+AB29</f>
        <v>18747.11</v>
      </c>
      <c r="AE37" s="50">
        <f>+AA37+AB37+AC37</f>
        <v>295957.93</v>
      </c>
    </row>
    <row r="38" spans="1:33">
      <c r="A38" s="90"/>
      <c r="B38" s="91"/>
      <c r="C38" s="92"/>
      <c r="D38" s="93"/>
      <c r="E38" s="91"/>
      <c r="F38" s="91"/>
      <c r="H38" s="92"/>
      <c r="I38" s="91"/>
      <c r="J38" s="131">
        <v>2.4</v>
      </c>
      <c r="K38" s="91"/>
      <c r="L38" s="126" t="s">
        <v>156</v>
      </c>
      <c r="M38" s="129">
        <f>+M39</f>
        <v>7400</v>
      </c>
      <c r="N38" s="129">
        <f>+N39</f>
        <v>7030</v>
      </c>
      <c r="Z38" s="200" t="s">
        <v>207</v>
      </c>
      <c r="AA38" s="3">
        <f>+Z29</f>
        <v>51830</v>
      </c>
      <c r="AB38" s="50">
        <f>+AA29</f>
        <v>51757</v>
      </c>
      <c r="AC38" s="50">
        <f>+AB28</f>
        <v>7471.56</v>
      </c>
      <c r="AE38" s="50">
        <f>+AA38+AB38+AC38</f>
        <v>111058.56</v>
      </c>
    </row>
    <row r="39" spans="1:33">
      <c r="A39" s="90"/>
      <c r="B39" s="91"/>
      <c r="C39" s="92"/>
      <c r="D39" s="93"/>
      <c r="E39" s="91"/>
      <c r="F39" s="91"/>
      <c r="H39" s="92"/>
      <c r="I39" s="91"/>
      <c r="J39" s="91"/>
      <c r="K39" s="195" t="s">
        <v>157</v>
      </c>
      <c r="L39" s="121" t="s">
        <v>158</v>
      </c>
      <c r="M39" s="288">
        <v>7400</v>
      </c>
      <c r="N39" s="95">
        <v>7030</v>
      </c>
      <c r="Y39" s="3"/>
      <c r="AA39" s="286"/>
      <c r="AB39" s="50"/>
    </row>
    <row r="40" spans="1:33">
      <c r="A40" s="90"/>
      <c r="B40" s="91"/>
      <c r="C40" s="92"/>
      <c r="D40" s="93"/>
      <c r="E40" s="91"/>
      <c r="F40" s="91"/>
      <c r="H40" s="92"/>
      <c r="I40" s="91"/>
      <c r="J40" s="131">
        <v>2.5</v>
      </c>
      <c r="K40" s="195"/>
      <c r="L40" s="126" t="s">
        <v>147</v>
      </c>
      <c r="M40" s="129">
        <f>+M41</f>
        <v>563002.59</v>
      </c>
      <c r="N40" s="129">
        <f>+N41</f>
        <v>539146.55000000005</v>
      </c>
    </row>
    <row r="41" spans="1:33">
      <c r="A41" s="90"/>
      <c r="B41" s="91"/>
      <c r="C41" s="92"/>
      <c r="D41" s="93"/>
      <c r="E41" s="91"/>
      <c r="F41" s="91"/>
      <c r="H41" s="92"/>
      <c r="I41" s="91"/>
      <c r="J41" s="91"/>
      <c r="K41" s="195"/>
      <c r="L41" s="121" t="s">
        <v>152</v>
      </c>
      <c r="M41" s="288">
        <v>563002.59</v>
      </c>
      <c r="N41" s="95">
        <v>539146.55000000005</v>
      </c>
      <c r="AA41" s="50"/>
      <c r="AD41" s="50">
        <f>+N22-AE37</f>
        <v>1422148.85</v>
      </c>
    </row>
    <row r="42" spans="1:33">
      <c r="A42" s="90"/>
      <c r="B42" s="91"/>
      <c r="C42" s="92"/>
      <c r="D42" s="93"/>
      <c r="E42" s="91"/>
      <c r="F42" s="91"/>
      <c r="H42" s="92"/>
      <c r="I42" s="91"/>
      <c r="J42" s="131">
        <v>2.6</v>
      </c>
      <c r="K42" s="91"/>
      <c r="L42" s="118" t="s">
        <v>50</v>
      </c>
      <c r="M42" s="129">
        <f>+M43</f>
        <v>368582.01</v>
      </c>
      <c r="N42" s="129">
        <f>+N43</f>
        <v>350152.9</v>
      </c>
      <c r="V42" s="3"/>
      <c r="AA42" s="50">
        <f>+M22-AE37</f>
        <v>1664092.04</v>
      </c>
    </row>
    <row r="43" spans="1:33">
      <c r="A43" s="90"/>
      <c r="B43" s="91"/>
      <c r="C43" s="92"/>
      <c r="D43" s="93"/>
      <c r="E43" s="91"/>
      <c r="F43" s="91"/>
      <c r="H43" s="92"/>
      <c r="I43" s="91"/>
      <c r="J43" s="91"/>
      <c r="K43" s="91">
        <v>6.3</v>
      </c>
      <c r="L43" s="121" t="s">
        <v>124</v>
      </c>
      <c r="M43" s="95">
        <f>273208.5+95373.51</f>
        <v>368582.01</v>
      </c>
      <c r="N43" s="95">
        <f>259548.07+90604.83</f>
        <v>350152.9</v>
      </c>
      <c r="V43" s="3"/>
      <c r="AA43" s="50">
        <f>+M23-AE38</f>
        <v>618941.43999999994</v>
      </c>
      <c r="AC43" s="50">
        <f>+N23-AE38</f>
        <v>520072.25999999995</v>
      </c>
      <c r="AE43" s="50"/>
    </row>
    <row r="44" spans="1:33">
      <c r="A44" s="90"/>
      <c r="B44" s="91"/>
      <c r="C44" s="92"/>
      <c r="D44" s="93"/>
      <c r="E44" s="91"/>
      <c r="F44" s="91"/>
      <c r="H44" s="92"/>
      <c r="I44" s="91"/>
      <c r="J44" s="131">
        <v>2.7</v>
      </c>
      <c r="K44" s="131"/>
      <c r="L44" s="284" t="s">
        <v>195</v>
      </c>
      <c r="M44" s="149">
        <f>+M45</f>
        <v>68794</v>
      </c>
      <c r="N44" s="149">
        <f>+N45</f>
        <v>65879</v>
      </c>
      <c r="V44" s="3"/>
      <c r="AE44" s="50"/>
    </row>
    <row r="45" spans="1:33">
      <c r="A45" s="90"/>
      <c r="B45" s="91"/>
      <c r="C45" s="92"/>
      <c r="D45" s="93"/>
      <c r="E45" s="91"/>
      <c r="F45" s="91"/>
      <c r="H45" s="92"/>
      <c r="I45" s="91"/>
      <c r="J45" s="91"/>
      <c r="K45" s="91" t="s">
        <v>197</v>
      </c>
      <c r="L45" s="121" t="s">
        <v>196</v>
      </c>
      <c r="M45" s="203">
        <v>68794</v>
      </c>
      <c r="N45" s="95">
        <v>65879</v>
      </c>
      <c r="V45" s="3"/>
      <c r="Y45" s="50">
        <f>7668443.37-M60</f>
        <v>3.0000001192092896E-2</v>
      </c>
      <c r="AE45" s="50"/>
    </row>
    <row r="46" spans="1:33">
      <c r="A46" s="90"/>
      <c r="B46" s="91"/>
      <c r="C46" s="92"/>
      <c r="D46" s="93"/>
      <c r="E46" s="91"/>
      <c r="F46" s="91"/>
      <c r="H46" s="92"/>
      <c r="I46" s="91"/>
      <c r="J46" s="91">
        <v>2.8</v>
      </c>
      <c r="K46" s="91"/>
      <c r="L46" s="118" t="s">
        <v>160</v>
      </c>
      <c r="M46" s="120">
        <f>+M47</f>
        <v>9500</v>
      </c>
      <c r="N46" s="120">
        <f>+N47</f>
        <v>9500</v>
      </c>
      <c r="V46" s="3"/>
      <c r="Z46">
        <v>1820886.45</v>
      </c>
      <c r="AC46">
        <v>1718106.78</v>
      </c>
    </row>
    <row r="47" spans="1:33">
      <c r="A47" s="90"/>
      <c r="B47" s="91"/>
      <c r="C47" s="92"/>
      <c r="D47" s="93"/>
      <c r="E47" s="91"/>
      <c r="F47" s="91"/>
      <c r="H47" s="92"/>
      <c r="I47" s="91"/>
      <c r="J47" s="91"/>
      <c r="K47" s="91" t="s">
        <v>198</v>
      </c>
      <c r="L47" s="121" t="s">
        <v>199</v>
      </c>
      <c r="M47" s="203">
        <v>9500</v>
      </c>
      <c r="N47" s="95">
        <v>9500</v>
      </c>
      <c r="T47" s="3"/>
      <c r="AC47">
        <v>631130.81999999995</v>
      </c>
      <c r="AE47" s="50">
        <f>+AG48-M60</f>
        <v>-3805456.6999999983</v>
      </c>
    </row>
    <row r="48" spans="1:33">
      <c r="A48" s="90"/>
      <c r="B48" s="91"/>
      <c r="C48" s="92"/>
      <c r="D48" s="93"/>
      <c r="E48" s="91"/>
      <c r="F48" s="91"/>
      <c r="H48" s="92"/>
      <c r="I48" s="91"/>
      <c r="J48" s="91">
        <v>2.8</v>
      </c>
      <c r="K48" s="91"/>
      <c r="L48" s="118" t="s">
        <v>52</v>
      </c>
      <c r="M48" s="120">
        <v>0</v>
      </c>
      <c r="N48" s="120">
        <v>0</v>
      </c>
      <c r="R48" s="198">
        <v>120559.03999999999</v>
      </c>
      <c r="S48" s="3">
        <v>0</v>
      </c>
      <c r="U48" s="50">
        <f>+R48-S48</f>
        <v>120559.03999999999</v>
      </c>
      <c r="V48" s="201">
        <v>0.05</v>
      </c>
      <c r="W48" s="3">
        <f>+U48*V48</f>
        <v>6027.9520000000002</v>
      </c>
      <c r="X48" s="50">
        <f>+R48-W48</f>
        <v>114531.08799999999</v>
      </c>
      <c r="AG48" s="50">
        <f>+AE68+AF62</f>
        <v>3862986.6400000006</v>
      </c>
    </row>
    <row r="49" spans="1:32">
      <c r="A49" s="90"/>
      <c r="B49" s="91"/>
      <c r="C49" s="92"/>
      <c r="D49" s="93"/>
      <c r="E49" s="91"/>
      <c r="F49" s="91"/>
      <c r="H49" s="92"/>
      <c r="I49" s="91"/>
      <c r="J49" s="91"/>
      <c r="K49" s="91" t="s">
        <v>53</v>
      </c>
      <c r="L49" s="121" t="s">
        <v>54</v>
      </c>
      <c r="M49" s="288"/>
      <c r="N49" s="156">
        <v>0</v>
      </c>
      <c r="R49" s="3">
        <v>1845.01</v>
      </c>
      <c r="S49">
        <f>1845.01*18%</f>
        <v>332.10179999999997</v>
      </c>
      <c r="U49" s="50">
        <f>+R49-S49</f>
        <v>1512.9082000000001</v>
      </c>
      <c r="V49" s="201">
        <f>+V48</f>
        <v>0.05</v>
      </c>
      <c r="W49" s="50">
        <v>92.67</v>
      </c>
      <c r="X49" s="50">
        <f>+R49-W49</f>
        <v>1752.34</v>
      </c>
    </row>
    <row r="50" spans="1:32">
      <c r="A50" s="90"/>
      <c r="B50" s="91"/>
      <c r="C50" s="92"/>
      <c r="D50" s="93"/>
      <c r="E50" s="91"/>
      <c r="F50" s="91"/>
      <c r="H50" s="92"/>
      <c r="I50" s="91">
        <v>2</v>
      </c>
      <c r="J50" s="91">
        <v>3</v>
      </c>
      <c r="K50" s="91"/>
      <c r="L50" s="118" t="s">
        <v>55</v>
      </c>
      <c r="M50" s="120">
        <f>+M51+M53+M55</f>
        <v>677011.13</v>
      </c>
      <c r="N50" s="120">
        <f>SUM(N51+N53+N55)</f>
        <v>655140.89</v>
      </c>
      <c r="W50">
        <v>6553.38</v>
      </c>
    </row>
    <row r="51" spans="1:32">
      <c r="A51" s="90"/>
      <c r="B51" s="91"/>
      <c r="C51" s="92"/>
      <c r="D51" s="93"/>
      <c r="E51" s="91"/>
      <c r="F51" s="91"/>
      <c r="H51" s="92"/>
      <c r="I51" s="91"/>
      <c r="J51" s="91">
        <v>3.1</v>
      </c>
      <c r="K51" s="91"/>
      <c r="L51" s="118" t="s">
        <v>163</v>
      </c>
      <c r="M51" s="120">
        <f>+M52</f>
        <v>188132.49</v>
      </c>
      <c r="N51" s="120">
        <f>+N52</f>
        <v>179296.74000000002</v>
      </c>
      <c r="Y51" s="50">
        <f>7668443.37-M60</f>
        <v>3.0000001192092896E-2</v>
      </c>
    </row>
    <row r="52" spans="1:32">
      <c r="A52" s="90"/>
      <c r="B52" s="91"/>
      <c r="C52" s="92"/>
      <c r="D52" s="93"/>
      <c r="E52" s="91"/>
      <c r="F52" s="91"/>
      <c r="H52" s="92"/>
      <c r="I52" s="91"/>
      <c r="J52" s="91"/>
      <c r="K52" s="91" t="s">
        <v>164</v>
      </c>
      <c r="L52" s="194" t="s">
        <v>165</v>
      </c>
      <c r="M52" s="203">
        <f>174446.74+13685.75</f>
        <v>188132.49</v>
      </c>
      <c r="N52" s="156">
        <f>166247.73+13049.01</f>
        <v>179296.74000000002</v>
      </c>
      <c r="AB52">
        <v>7668443.3700000001</v>
      </c>
    </row>
    <row r="53" spans="1:32">
      <c r="A53" s="90"/>
      <c r="B53" s="91"/>
      <c r="C53" s="92"/>
      <c r="D53" s="93"/>
      <c r="E53" s="91"/>
      <c r="F53" s="91"/>
      <c r="H53" s="92"/>
      <c r="I53" s="91"/>
      <c r="J53" s="131">
        <v>3.7</v>
      </c>
      <c r="K53" s="131"/>
      <c r="L53" s="118" t="s">
        <v>60</v>
      </c>
      <c r="M53" s="120">
        <f>+M54</f>
        <v>200000</v>
      </c>
      <c r="N53" s="120">
        <f>+N54</f>
        <v>199231.27</v>
      </c>
      <c r="T53" s="3"/>
      <c r="U53" s="3"/>
      <c r="AB53" s="50">
        <f>+AB52-M60</f>
        <v>3.0000001192092896E-2</v>
      </c>
    </row>
    <row r="54" spans="1:32">
      <c r="A54" s="90"/>
      <c r="B54" s="91"/>
      <c r="C54" s="92"/>
      <c r="D54" s="93"/>
      <c r="E54" s="91"/>
      <c r="F54" s="91"/>
      <c r="H54" s="92"/>
      <c r="I54" s="91"/>
      <c r="J54" s="131"/>
      <c r="K54" s="131"/>
      <c r="L54" s="194" t="s">
        <v>62</v>
      </c>
      <c r="M54" s="203">
        <v>200000</v>
      </c>
      <c r="N54" s="156">
        <v>199231.27</v>
      </c>
      <c r="T54" s="3"/>
      <c r="U54" s="3"/>
      <c r="Y54" s="50">
        <f>7256290.36-N60</f>
        <v>0</v>
      </c>
      <c r="AD54" s="50">
        <f>+AE61+AE62+AE63+AE66</f>
        <v>3266666.49</v>
      </c>
    </row>
    <row r="55" spans="1:32">
      <c r="A55" s="90"/>
      <c r="B55" s="91"/>
      <c r="C55" s="92"/>
      <c r="D55" s="93"/>
      <c r="E55" s="91"/>
      <c r="F55" s="91"/>
      <c r="H55" s="92"/>
      <c r="I55" s="91"/>
      <c r="J55" s="131" t="s">
        <v>193</v>
      </c>
      <c r="K55" s="131"/>
      <c r="L55" s="284" t="s">
        <v>191</v>
      </c>
      <c r="M55" s="120">
        <f>+M57+M56</f>
        <v>288878.64</v>
      </c>
      <c r="N55" s="212">
        <f>+N57+N56</f>
        <v>276612.88</v>
      </c>
      <c r="T55" s="3"/>
      <c r="U55" s="3"/>
      <c r="Z55">
        <v>7256290.3600000003</v>
      </c>
    </row>
    <row r="56" spans="1:32">
      <c r="A56" s="90"/>
      <c r="B56" s="91"/>
      <c r="C56" s="92"/>
      <c r="D56" s="93"/>
      <c r="E56" s="91"/>
      <c r="F56" s="91"/>
      <c r="H56" s="92"/>
      <c r="I56" s="91"/>
      <c r="J56" s="131"/>
      <c r="K56" s="131" t="s">
        <v>200</v>
      </c>
      <c r="L56" s="194" t="s">
        <v>201</v>
      </c>
      <c r="M56" s="203">
        <f>36727.5+52444.47+25600.03+50905.2</f>
        <v>165677.20000000001</v>
      </c>
      <c r="N56" s="223">
        <f>35171.25+50197.11+24515.28+48748.2</f>
        <v>158631.84</v>
      </c>
      <c r="T56" s="3"/>
      <c r="U56" s="3"/>
      <c r="Z56" s="50">
        <f>+Z55-N60</f>
        <v>0</v>
      </c>
    </row>
    <row r="57" spans="1:32">
      <c r="A57" s="90"/>
      <c r="B57" s="91"/>
      <c r="C57" s="92"/>
      <c r="D57" s="93"/>
      <c r="E57" s="91"/>
      <c r="F57" s="91"/>
      <c r="H57" s="92"/>
      <c r="I57" s="91"/>
      <c r="J57" s="131"/>
      <c r="K57" s="131" t="s">
        <v>194</v>
      </c>
      <c r="L57" s="194" t="s">
        <v>192</v>
      </c>
      <c r="M57" s="203">
        <v>123201.44</v>
      </c>
      <c r="N57" s="223">
        <v>117981.04</v>
      </c>
      <c r="T57" s="3"/>
      <c r="U57" s="3"/>
    </row>
    <row r="58" spans="1:32">
      <c r="A58" s="90"/>
      <c r="B58" s="91"/>
      <c r="C58" s="92"/>
      <c r="D58" s="93"/>
      <c r="E58" s="91"/>
      <c r="F58" s="91"/>
      <c r="H58" s="92"/>
      <c r="I58" s="91"/>
      <c r="J58" s="131"/>
      <c r="K58" s="131"/>
      <c r="L58" s="118"/>
      <c r="M58" s="120"/>
      <c r="N58" s="212"/>
      <c r="Q58" s="50"/>
      <c r="T58" s="3"/>
      <c r="U58" s="3"/>
      <c r="W58" s="50" t="e">
        <f>6553.38-#REF!</f>
        <v>#REF!</v>
      </c>
      <c r="Z58" s="50">
        <f>7668443.37-M60</f>
        <v>3.0000001192092896E-2</v>
      </c>
    </row>
    <row r="59" spans="1:32">
      <c r="A59" s="221"/>
      <c r="B59" s="91"/>
      <c r="C59" s="91"/>
      <c r="D59" s="93"/>
      <c r="E59" s="91"/>
      <c r="F59" s="91"/>
      <c r="G59" s="91"/>
      <c r="I59" s="173"/>
      <c r="J59" s="91"/>
      <c r="K59" s="91"/>
      <c r="L59" s="194"/>
      <c r="M59" s="226"/>
      <c r="N59" s="226"/>
      <c r="P59" s="167"/>
      <c r="R59" s="3"/>
      <c r="T59" t="e">
        <f>SUM(#REF!)</f>
        <v>#REF!</v>
      </c>
      <c r="AE59" s="291">
        <v>9500</v>
      </c>
      <c r="AF59" s="58">
        <v>13685.75</v>
      </c>
    </row>
    <row r="60" spans="1:32">
      <c r="A60" s="134"/>
      <c r="B60" s="91"/>
      <c r="C60" s="91"/>
      <c r="D60" s="93"/>
      <c r="E60" s="91"/>
      <c r="F60" s="91"/>
      <c r="G60" s="91"/>
      <c r="I60" s="173"/>
      <c r="J60" s="91"/>
      <c r="K60" s="195"/>
      <c r="L60" s="194"/>
      <c r="M60" s="203">
        <f>+M20+M30+M50</f>
        <v>7668443.3399999989</v>
      </c>
      <c r="N60" s="203">
        <f>+N20+N30+N50</f>
        <v>7256290.3599999994</v>
      </c>
      <c r="P60" s="167"/>
      <c r="R60" s="3"/>
      <c r="AA60">
        <v>173018.74</v>
      </c>
      <c r="AE60" s="291">
        <v>200000</v>
      </c>
      <c r="AF60" s="58">
        <v>58637.599999999999</v>
      </c>
    </row>
    <row r="61" spans="1:32">
      <c r="A61" s="134"/>
      <c r="B61" s="91"/>
      <c r="C61" s="91"/>
      <c r="D61" s="93"/>
      <c r="E61" s="91"/>
      <c r="F61" s="91"/>
      <c r="G61" s="91"/>
      <c r="I61" s="173"/>
      <c r="J61" s="91"/>
      <c r="K61" s="195"/>
      <c r="L61" s="194" t="s">
        <v>205</v>
      </c>
      <c r="M61" s="203"/>
      <c r="N61" s="223">
        <v>412153.01</v>
      </c>
      <c r="P61" s="167"/>
      <c r="R61" s="3"/>
      <c r="Y61" s="50">
        <f>+M60-N60</f>
        <v>412152.97999999952</v>
      </c>
      <c r="AA61">
        <v>186589.12</v>
      </c>
      <c r="AE61" s="290">
        <v>2194904.23</v>
      </c>
      <c r="AF61" s="58">
        <v>2196816</v>
      </c>
    </row>
    <row r="62" spans="1:32">
      <c r="A62" s="134"/>
      <c r="B62" s="91"/>
      <c r="C62" s="91"/>
      <c r="D62" s="93"/>
      <c r="E62" s="91"/>
      <c r="F62" s="91"/>
      <c r="G62" s="91"/>
      <c r="I62" s="173"/>
      <c r="J62" s="91"/>
      <c r="K62" s="91"/>
      <c r="L62" s="118"/>
      <c r="M62" s="120"/>
      <c r="N62" s="212"/>
      <c r="P62" s="167"/>
      <c r="R62" s="3"/>
      <c r="AA62">
        <v>1690</v>
      </c>
      <c r="AE62" s="291">
        <v>841058.56</v>
      </c>
      <c r="AF62" s="291">
        <v>174446.74</v>
      </c>
    </row>
    <row r="63" spans="1:32">
      <c r="A63" s="134"/>
      <c r="B63" s="210"/>
      <c r="C63" s="210"/>
      <c r="D63" s="211"/>
      <c r="E63" s="210"/>
      <c r="F63" s="210"/>
      <c r="G63" s="210"/>
      <c r="H63" s="175"/>
      <c r="I63" s="185"/>
      <c r="J63" s="210"/>
      <c r="K63" s="210"/>
      <c r="L63" s="224"/>
      <c r="M63" s="225">
        <f>+M60</f>
        <v>7668443.3399999989</v>
      </c>
      <c r="N63" s="225">
        <f>SUM(N60+N61)</f>
        <v>7668443.3699999992</v>
      </c>
      <c r="P63" s="167"/>
      <c r="Q63" s="50" t="e">
        <f>+#REF!-#REF!</f>
        <v>#REF!</v>
      </c>
      <c r="AA63">
        <f>SUM(AA60:AA62)</f>
        <v>361297.86</v>
      </c>
      <c r="AE63" s="291">
        <v>169600</v>
      </c>
      <c r="AF63" s="58">
        <v>563002.59</v>
      </c>
    </row>
    <row r="64" spans="1:32">
      <c r="A64" s="134"/>
      <c r="D64" s="135"/>
      <c r="L64" s="222"/>
      <c r="M64" s="141"/>
      <c r="N64" s="141"/>
      <c r="P64" s="167"/>
      <c r="AE64" s="291">
        <v>36727.5</v>
      </c>
      <c r="AF64" s="58">
        <v>7400</v>
      </c>
    </row>
    <row r="65" spans="1:32">
      <c r="A65" s="134"/>
      <c r="D65" s="135"/>
      <c r="L65" s="140"/>
      <c r="M65" s="189"/>
      <c r="N65" s="189"/>
      <c r="P65" s="167"/>
      <c r="R65" s="3"/>
      <c r="AE65" s="291">
        <v>52444.47</v>
      </c>
      <c r="AF65" s="58">
        <v>273208.5</v>
      </c>
    </row>
    <row r="66" spans="1:32">
      <c r="A66" s="208"/>
      <c r="B66" s="209"/>
      <c r="D66" s="135"/>
      <c r="L66" s="140"/>
      <c r="M66" s="141"/>
      <c r="N66" s="141"/>
      <c r="P66" s="167"/>
      <c r="Q66" s="50"/>
      <c r="AE66" s="291">
        <v>61103.7</v>
      </c>
      <c r="AF66" s="58">
        <v>95373.51</v>
      </c>
    </row>
    <row r="67" spans="1:32">
      <c r="J67" s="143"/>
      <c r="L67" s="140"/>
      <c r="M67" s="142"/>
      <c r="N67" s="144"/>
      <c r="O67" s="95"/>
      <c r="Z67" s="50">
        <f>+M60-AC74</f>
        <v>-3.0000000260770321E-2</v>
      </c>
      <c r="AC67" s="50">
        <f>+M60-AE68</f>
        <v>3979903.4399999985</v>
      </c>
      <c r="AE67" s="291">
        <v>123201.44</v>
      </c>
      <c r="AF67" s="58">
        <v>756</v>
      </c>
    </row>
    <row r="68" spans="1:32">
      <c r="J68" s="143"/>
      <c r="L68" s="140"/>
      <c r="M68" s="141"/>
      <c r="N68" s="144"/>
      <c r="O68" s="95"/>
      <c r="AE68" s="3">
        <f>SUM(AE59:AE67)</f>
        <v>3688539.9000000004</v>
      </c>
      <c r="AF68" s="58">
        <v>68794</v>
      </c>
    </row>
    <row r="69" spans="1:32">
      <c r="J69" s="143"/>
      <c r="L69" s="126"/>
      <c r="M69" s="142"/>
      <c r="N69" s="144"/>
      <c r="O69" s="95"/>
      <c r="AF69" s="58">
        <v>25600.03</v>
      </c>
    </row>
    <row r="70" spans="1:32">
      <c r="J70" s="143"/>
      <c r="L70" s="140"/>
      <c r="M70" s="142"/>
      <c r="N70" s="144"/>
      <c r="O70" s="95"/>
      <c r="R70" s="50"/>
      <c r="AF70" s="58">
        <v>77059.34</v>
      </c>
    </row>
    <row r="71" spans="1:32">
      <c r="J71" s="143"/>
      <c r="L71" s="140"/>
      <c r="M71" s="141"/>
      <c r="N71" s="145"/>
      <c r="O71" s="95"/>
      <c r="AF71" s="58">
        <v>91549.25</v>
      </c>
    </row>
    <row r="72" spans="1:32">
      <c r="J72" s="143"/>
      <c r="L72" s="140"/>
      <c r="M72" s="141"/>
      <c r="N72" s="145"/>
      <c r="O72" s="95"/>
      <c r="AF72" s="58">
        <v>35400.25</v>
      </c>
    </row>
    <row r="73" spans="1:32">
      <c r="J73" s="143"/>
      <c r="L73" s="126"/>
      <c r="M73" s="142"/>
      <c r="N73" s="145"/>
      <c r="O73" s="95"/>
      <c r="AF73" s="58">
        <v>247268.71</v>
      </c>
    </row>
    <row r="74" spans="1:32">
      <c r="J74" s="143"/>
      <c r="L74" s="140"/>
      <c r="M74" s="141"/>
      <c r="N74" s="145"/>
      <c r="O74" s="95"/>
      <c r="AC74" s="50">
        <f>+AE68+AF75</f>
        <v>7668443.3699999992</v>
      </c>
      <c r="AF74" s="3">
        <v>50905.2</v>
      </c>
    </row>
    <row r="75" spans="1:32">
      <c r="J75" s="143"/>
      <c r="L75" s="140"/>
      <c r="M75" s="142"/>
      <c r="N75" s="144"/>
      <c r="O75" s="95"/>
      <c r="AF75" s="3">
        <f>SUM(AF59:AF74)</f>
        <v>3979903.4699999993</v>
      </c>
    </row>
    <row r="76" spans="1:32">
      <c r="J76" s="143"/>
      <c r="L76" s="126"/>
      <c r="M76" s="142"/>
      <c r="N76" s="145"/>
      <c r="O76" s="95"/>
    </row>
    <row r="77" spans="1:32">
      <c r="J77" s="143"/>
      <c r="K77" s="146"/>
      <c r="L77" s="140"/>
      <c r="M77" s="141"/>
      <c r="N77" s="142"/>
      <c r="O77" s="95"/>
    </row>
    <row r="78" spans="1:32">
      <c r="J78" s="143"/>
      <c r="L78" s="140"/>
      <c r="M78" s="141"/>
      <c r="N78" s="145"/>
      <c r="O78" s="95"/>
    </row>
    <row r="79" spans="1:32">
      <c r="J79" s="143"/>
      <c r="L79" s="140"/>
      <c r="M79" s="144"/>
      <c r="N79" s="145"/>
      <c r="O79" s="95"/>
    </row>
    <row r="80" spans="1:32">
      <c r="J80" s="143"/>
      <c r="L80" s="140"/>
      <c r="M80" s="141"/>
      <c r="N80" s="144"/>
      <c r="O80" s="95"/>
    </row>
    <row r="81" spans="10:16">
      <c r="J81" s="143"/>
      <c r="L81" s="140"/>
      <c r="M81" s="141"/>
      <c r="N81" s="145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26"/>
      <c r="M84" s="141"/>
      <c r="N84" s="145"/>
      <c r="O84" s="95"/>
    </row>
    <row r="85" spans="10:16">
      <c r="J85" s="143"/>
      <c r="L85" s="140"/>
      <c r="M85" s="141"/>
      <c r="N85" s="145"/>
      <c r="O85" s="95"/>
    </row>
    <row r="86" spans="10:16">
      <c r="J86" s="143"/>
      <c r="L86" s="126"/>
      <c r="M86" s="141"/>
      <c r="N86" s="145"/>
      <c r="O86" s="95"/>
    </row>
    <row r="87" spans="10:16">
      <c r="J87" s="143"/>
      <c r="L87" s="126"/>
      <c r="M87" s="142"/>
      <c r="N87" s="145"/>
      <c r="O87" s="95"/>
    </row>
    <row r="88" spans="10:16">
      <c r="J88" s="143"/>
      <c r="L88" s="126"/>
      <c r="M88" s="142"/>
      <c r="N88" s="144"/>
      <c r="O88" s="95"/>
    </row>
    <row r="89" spans="10:16">
      <c r="J89" s="143"/>
      <c r="L89" s="140"/>
      <c r="M89" s="142"/>
      <c r="N89" s="144"/>
      <c r="O89" s="141"/>
      <c r="P89" s="141"/>
    </row>
    <row r="90" spans="10:16">
      <c r="J90" s="143"/>
      <c r="L90" s="140"/>
      <c r="M90" s="142"/>
      <c r="N90" s="144"/>
      <c r="O90" s="141"/>
      <c r="P90" s="141"/>
    </row>
    <row r="91" spans="10:16">
      <c r="J91" s="147"/>
      <c r="L91" s="140"/>
      <c r="M91" s="148"/>
      <c r="N91" s="142"/>
      <c r="O91" s="141"/>
      <c r="P91" s="141"/>
    </row>
    <row r="92" spans="10:16">
      <c r="J92" s="147"/>
      <c r="L92" s="140"/>
      <c r="M92" s="142"/>
      <c r="N92" s="148"/>
      <c r="O92" s="141"/>
      <c r="P92" s="141"/>
    </row>
    <row r="93" spans="10:16">
      <c r="J93" s="143"/>
      <c r="L93" s="126"/>
      <c r="M93" s="142"/>
      <c r="N93" s="142"/>
      <c r="O93" s="141"/>
      <c r="P93" s="141"/>
    </row>
    <row r="94" spans="10:16">
      <c r="J94" s="143"/>
      <c r="L94" s="140"/>
      <c r="M94" s="141"/>
      <c r="N94" s="142"/>
      <c r="O94" s="141"/>
      <c r="P94" s="141"/>
    </row>
    <row r="95" spans="10:16">
      <c r="J95" s="143"/>
      <c r="L95" s="140"/>
      <c r="M95" s="141"/>
      <c r="N95" s="142"/>
      <c r="O95" s="95"/>
    </row>
    <row r="96" spans="10:16">
      <c r="J96" s="143"/>
      <c r="L96" s="126"/>
      <c r="M96" s="142"/>
      <c r="N96" s="141"/>
      <c r="O96" s="95"/>
    </row>
    <row r="97" spans="10:17">
      <c r="L97" s="140"/>
      <c r="M97" s="142"/>
      <c r="N97" s="142"/>
      <c r="O97" s="95"/>
    </row>
    <row r="98" spans="10:17">
      <c r="L98" s="140"/>
      <c r="M98" s="141"/>
      <c r="N98" s="142"/>
      <c r="O98" s="95"/>
    </row>
    <row r="99" spans="10:17">
      <c r="L99" s="126"/>
      <c r="M99" s="141"/>
      <c r="N99" s="141"/>
      <c r="O99" s="95"/>
    </row>
    <row r="100" spans="10:17">
      <c r="L100" s="140"/>
      <c r="M100" s="142"/>
      <c r="N100" s="95"/>
      <c r="O100" s="95"/>
    </row>
    <row r="101" spans="10:17">
      <c r="L101" s="126"/>
      <c r="M101" s="149"/>
      <c r="N101" s="142"/>
      <c r="O101" s="95"/>
    </row>
    <row r="102" spans="10:17">
      <c r="L102" s="126"/>
      <c r="M102" s="95"/>
      <c r="N102" s="149"/>
      <c r="O102" s="95"/>
    </row>
    <row r="103" spans="10:17">
      <c r="L103" s="140"/>
      <c r="M103" s="95"/>
      <c r="N103" s="149"/>
      <c r="O103" s="95"/>
    </row>
    <row r="104" spans="10:17">
      <c r="L104" s="140"/>
      <c r="M104" s="149"/>
      <c r="N104" s="95"/>
      <c r="O104" s="95"/>
    </row>
    <row r="105" spans="10:17">
      <c r="L105" s="140"/>
      <c r="M105" s="149"/>
      <c r="N105" s="149"/>
      <c r="O105" s="95"/>
    </row>
    <row r="106" spans="10:17">
      <c r="L106" s="140"/>
      <c r="M106" s="149"/>
      <c r="N106" s="149"/>
      <c r="O106" s="95"/>
    </row>
    <row r="107" spans="10:17">
      <c r="L107" s="140"/>
      <c r="M107" s="95"/>
      <c r="N107" s="149"/>
      <c r="O107" s="95"/>
    </row>
    <row r="108" spans="10:17">
      <c r="L108" s="140"/>
      <c r="M108" s="95"/>
      <c r="N108" s="149"/>
      <c r="O108" s="140"/>
      <c r="P108" s="95"/>
      <c r="Q108" s="95"/>
    </row>
    <row r="109" spans="10:17">
      <c r="L109" s="140"/>
      <c r="M109" s="149"/>
      <c r="N109" s="95"/>
      <c r="O109" s="95"/>
    </row>
    <row r="110" spans="10:17">
      <c r="J110" s="143"/>
      <c r="L110" s="140"/>
      <c r="M110" s="149"/>
      <c r="N110" s="149"/>
      <c r="O110" s="95"/>
    </row>
    <row r="111" spans="10:17">
      <c r="J111" s="143"/>
      <c r="L111" s="140"/>
      <c r="M111" s="149"/>
      <c r="N111" s="149"/>
      <c r="O111" s="95"/>
    </row>
    <row r="112" spans="10:17">
      <c r="L112" s="140"/>
      <c r="M112" s="95"/>
      <c r="N112" s="149"/>
      <c r="O112" s="95"/>
    </row>
    <row r="113" spans="1:15">
      <c r="L113" s="140"/>
      <c r="M113" s="149"/>
      <c r="N113" s="95"/>
      <c r="O113" s="95"/>
    </row>
    <row r="114" spans="1:15">
      <c r="L114" s="140"/>
      <c r="M114" s="95"/>
      <c r="N114" s="149"/>
      <c r="O114" s="95"/>
    </row>
    <row r="115" spans="1:15">
      <c r="L115" s="140"/>
      <c r="M115" s="95"/>
      <c r="N115" s="95"/>
      <c r="O115" s="95"/>
    </row>
    <row r="116" spans="1:15">
      <c r="J116" s="143"/>
      <c r="L116" s="140"/>
      <c r="M116" s="95"/>
      <c r="N116" s="95"/>
      <c r="O116" s="95"/>
    </row>
    <row r="117" spans="1:15">
      <c r="K117" s="143"/>
      <c r="M117" s="149"/>
      <c r="N117" s="95"/>
      <c r="O117" s="95"/>
    </row>
    <row r="118" spans="1:15">
      <c r="J118" s="143"/>
      <c r="K118" s="143"/>
      <c r="M118" s="95"/>
      <c r="N118" s="149"/>
      <c r="O118" s="95"/>
    </row>
    <row r="119" spans="1:15">
      <c r="K119" s="143"/>
      <c r="M119" s="149"/>
      <c r="N119" s="95"/>
      <c r="O119" s="95"/>
    </row>
    <row r="120" spans="1:15">
      <c r="A120" t="s">
        <v>67</v>
      </c>
      <c r="M120" s="149"/>
      <c r="N120" s="149"/>
    </row>
    <row r="121" spans="1:15">
      <c r="M121" s="95"/>
      <c r="N121" s="149"/>
    </row>
    <row r="122" spans="1:15">
      <c r="M122" s="95"/>
      <c r="N122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3AED-C958-4162-A035-8E013079ADB7}">
  <dimension ref="A1:N21"/>
  <sheetViews>
    <sheetView topLeftCell="D1" zoomScaleNormal="100" workbookViewId="0">
      <selection activeCell="N41" sqref="N41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5" t="s">
        <v>68</v>
      </c>
      <c r="E9" s="255"/>
      <c r="F9" s="255"/>
      <c r="G9" s="255"/>
      <c r="H9" s="51"/>
    </row>
    <row r="10" spans="4:14" ht="15.75">
      <c r="D10" s="255" t="s">
        <v>69</v>
      </c>
      <c r="E10" s="255"/>
      <c r="F10" s="255"/>
      <c r="G10" s="255"/>
      <c r="H10" s="51"/>
    </row>
    <row r="11" spans="4:14" ht="15.75">
      <c r="D11" s="255" t="s">
        <v>177</v>
      </c>
      <c r="E11" s="255"/>
      <c r="F11" s="255"/>
      <c r="G11" s="255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26136575.550000001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1669.72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6.5" thickBot="1">
      <c r="D20" s="51" t="s">
        <v>74</v>
      </c>
      <c r="E20" s="51"/>
      <c r="F20" s="51"/>
      <c r="G20" s="72">
        <f>+G15+G17+G18</f>
        <v>26138245.27</v>
      </c>
      <c r="H20" s="51"/>
    </row>
    <row r="21" spans="4:8" ht="15.75" thickTop="1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EJEC. NOV. (2)</vt:lpstr>
      <vt:lpstr>EJEC.OCTUB</vt:lpstr>
      <vt:lpstr>BAL. </vt:lpstr>
      <vt:lpstr>C X P </vt:lpstr>
      <vt:lpstr>INGRESOS</vt:lpstr>
      <vt:lpstr>C.Y BCO.</vt:lpstr>
      <vt:lpstr>EJEC.NOV.</vt:lpstr>
      <vt:lpstr>EJEC.NOV. (2)</vt:lpstr>
      <vt:lpstr>BAL. NOV</vt:lpstr>
      <vt:lpstr>C.Y BCO. NOV</vt:lpstr>
      <vt:lpstr>INGRESOS NOV</vt:lpstr>
      <vt:lpstr>C X P  NOV</vt:lpstr>
      <vt:lpstr>Hoja1</vt:lpstr>
      <vt:lpstr>'BAL. '!Área_de_impresión</vt:lpstr>
      <vt:lpstr>'BAL. NOV'!Área_de_impresión</vt:lpstr>
      <vt:lpstr>'C X P '!Área_de_impresión</vt:lpstr>
      <vt:lpstr>'C X P  NOV'!Área_de_impresión</vt:lpstr>
      <vt:lpstr>'C.Y BCO.'!Área_de_impresión</vt:lpstr>
      <vt:lpstr>'C.Y BCO. NOV'!Área_de_impresión</vt:lpstr>
      <vt:lpstr>'EJEC. NOV. (2)'!Área_de_impresión</vt:lpstr>
      <vt:lpstr>EJEC.NOV.!Área_de_impresión</vt:lpstr>
      <vt:lpstr>'EJEC.NOV. (2)'!Área_de_impresión</vt:lpstr>
      <vt:lpstr>EJEC.OCTUB!Área_de_impresión</vt:lpstr>
      <vt:lpstr>INGRESOS!Área_de_impresión</vt:lpstr>
      <vt:lpstr>'INGRESOS NOV'!Área_de_impresión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Katherine Paula Castillo</cp:lastModifiedBy>
  <cp:lastPrinted>2023-12-08T12:57:27Z</cp:lastPrinted>
  <dcterms:created xsi:type="dcterms:W3CDTF">2004-03-08T17:15:00Z</dcterms:created>
  <dcterms:modified xsi:type="dcterms:W3CDTF">2023-12-08T14:49:01Z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