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1"/>
  </bookViews>
  <sheets>
    <sheet name="Materiales de oficina" sheetId="1" r:id="rId1"/>
    <sheet name="Materiales de limpieza 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/>
  <c r="F39"/>
  <c r="F24" i="2"/>
  <c r="F26"/>
  <c r="F10"/>
  <c r="F9"/>
  <c r="F12"/>
  <c r="F17"/>
  <c r="F21"/>
  <c r="F45"/>
  <c r="F30"/>
  <c r="F34"/>
  <c r="F33"/>
  <c r="F32"/>
  <c r="F8"/>
  <c r="F11"/>
  <c r="F41"/>
  <c r="F65"/>
  <c r="F86" i="1"/>
  <c r="F62"/>
  <c r="F54"/>
  <c r="F47"/>
  <c r="F45"/>
  <c r="F42"/>
  <c r="F31"/>
  <c r="F16"/>
  <c r="F14"/>
  <c r="F11"/>
  <c r="F10"/>
  <c r="F8"/>
  <c r="F48" i="2"/>
  <c r="F20"/>
  <c r="F19"/>
  <c r="F28" i="1"/>
  <c r="F22"/>
  <c r="F89" i="2"/>
  <c r="F88"/>
  <c r="F87"/>
  <c r="F86"/>
  <c r="F78"/>
  <c r="F77"/>
  <c r="F85"/>
  <c r="F84"/>
  <c r="F63"/>
  <c r="F80"/>
  <c r="F79"/>
  <c r="F76"/>
  <c r="F75"/>
  <c r="F74"/>
  <c r="F73"/>
  <c r="F72"/>
  <c r="F71"/>
  <c r="F69"/>
  <c r="F68"/>
  <c r="F67"/>
  <c r="F66"/>
  <c r="F64"/>
  <c r="F62"/>
  <c r="F61"/>
  <c r="F60"/>
  <c r="F56"/>
  <c r="F55"/>
  <c r="F54"/>
  <c r="F53"/>
  <c r="F84" i="1"/>
  <c r="F64"/>
  <c r="F61"/>
  <c r="F30"/>
  <c r="F15"/>
  <c r="F99" i="2"/>
  <c r="F25"/>
  <c r="F16"/>
  <c r="F72" i="1"/>
  <c r="F56"/>
  <c r="F17"/>
  <c r="F49"/>
  <c r="F47" i="2"/>
  <c r="F82" i="1"/>
  <c r="F87"/>
  <c r="F83"/>
  <c r="F81"/>
  <c r="F65"/>
  <c r="F12"/>
  <c r="F46" i="2"/>
  <c r="F44"/>
  <c r="F43"/>
  <c r="F42"/>
  <c r="F40"/>
  <c r="F39"/>
  <c r="F31"/>
  <c r="F29"/>
  <c r="F28"/>
  <c r="F27"/>
  <c r="F23"/>
  <c r="F22"/>
  <c r="F18"/>
  <c r="F15"/>
  <c r="F14"/>
  <c r="F13"/>
  <c r="F93" i="1"/>
  <c r="F92"/>
  <c r="F91"/>
  <c r="F90"/>
  <c r="F89"/>
  <c r="F88"/>
  <c r="F85"/>
  <c r="F80"/>
  <c r="F79"/>
  <c r="F77"/>
  <c r="F76"/>
  <c r="F75"/>
  <c r="F74"/>
  <c r="F73"/>
  <c r="F70"/>
  <c r="F68"/>
  <c r="F67"/>
  <c r="F66"/>
  <c r="F63"/>
  <c r="F60"/>
  <c r="F59"/>
  <c r="F58"/>
  <c r="F57"/>
  <c r="F55"/>
  <c r="F53"/>
  <c r="F52"/>
  <c r="F51"/>
  <c r="F50"/>
  <c r="F48"/>
  <c r="F46"/>
  <c r="F44"/>
  <c r="F43"/>
  <c r="F41"/>
  <c r="F40"/>
  <c r="F34"/>
  <c r="F33"/>
  <c r="F32"/>
  <c r="F29"/>
  <c r="F27"/>
  <c r="F26"/>
  <c r="F24"/>
  <c r="F23"/>
  <c r="F21"/>
  <c r="F18"/>
  <c r="F13"/>
  <c r="F9"/>
  <c r="F100" i="2" l="1"/>
  <c r="F94" i="1"/>
</calcChain>
</file>

<file path=xl/sharedStrings.xml><?xml version="1.0" encoding="utf-8"?>
<sst xmlns="http://schemas.openxmlformats.org/spreadsheetml/2006/main" count="374" uniqueCount="192">
  <si>
    <t>Fecha De Adquisición</t>
  </si>
  <si>
    <t>Fecha de Registro</t>
  </si>
  <si>
    <t>Código Interno</t>
  </si>
  <si>
    <t>Descripción</t>
  </si>
  <si>
    <t>Existencia</t>
  </si>
  <si>
    <t>Valores RD$</t>
  </si>
  <si>
    <t>N/A</t>
  </si>
  <si>
    <t>Caja de Pendaflex</t>
  </si>
  <si>
    <t>Resma de Papel 81/2x11</t>
  </si>
  <si>
    <t>15/10/2021</t>
  </si>
  <si>
    <t>Resma Timbrada 81/2x11</t>
  </si>
  <si>
    <t xml:space="preserve">Resma Timbrada 81/2x11 hilo </t>
  </si>
  <si>
    <t>Resma Papel 81/2x14</t>
  </si>
  <si>
    <t xml:space="preserve"> 13/08/2020</t>
  </si>
  <si>
    <t xml:space="preserve">Paq. Papel carbón </t>
  </si>
  <si>
    <t>Caja de Folder 81/2x11</t>
  </si>
  <si>
    <t>Caja de Folder 81/2x14</t>
  </si>
  <si>
    <t xml:space="preserve">Caja de folder de colores </t>
  </si>
  <si>
    <t xml:space="preserve">Tóner hp 105A                 </t>
  </si>
  <si>
    <t>Tóner hp 541A</t>
  </si>
  <si>
    <t>Tóner hp 542A</t>
  </si>
  <si>
    <t>Tóner hp 603A</t>
  </si>
  <si>
    <t>Tóner hp 85A</t>
  </si>
  <si>
    <t>Tóner hp 55A</t>
  </si>
  <si>
    <t>Tóner hp 12A</t>
  </si>
  <si>
    <t>Tóner hp 83A</t>
  </si>
  <si>
    <t>Tóner XEROX 3655</t>
  </si>
  <si>
    <t>Tóner XEROX 6505</t>
  </si>
  <si>
    <t>Tóner Sharp</t>
  </si>
  <si>
    <t xml:space="preserve">Toner Hp 58 A </t>
  </si>
  <si>
    <t xml:space="preserve">Cartucho hp 61 color </t>
  </si>
  <si>
    <t xml:space="preserve">Cartucho hp 662 color </t>
  </si>
  <si>
    <t xml:space="preserve">Cartucho hp 662 negro </t>
  </si>
  <si>
    <t xml:space="preserve">Cartucho hp 670 Negro </t>
  </si>
  <si>
    <t xml:space="preserve">Cartucho hp 664 negro </t>
  </si>
  <si>
    <t xml:space="preserve">Cartucho hp 664 color </t>
  </si>
  <si>
    <t>Juego de tinta EPSON (Negra, Cian, Magenta y Amarrilla)</t>
  </si>
  <si>
    <t xml:space="preserve">Saca puntas </t>
  </si>
  <si>
    <t>Rollo Sumadora</t>
  </si>
  <si>
    <t xml:space="preserve">Borras </t>
  </si>
  <si>
    <t xml:space="preserve">Caja Hembra y Macho </t>
  </si>
  <si>
    <t>Dvds 50/1</t>
  </si>
  <si>
    <t>Paq. De CDS 50/1</t>
  </si>
  <si>
    <t>Liquid Paper</t>
  </si>
  <si>
    <t>Cinta TIO 1/12</t>
  </si>
  <si>
    <t>Cinta Adhesiva</t>
  </si>
  <si>
    <t>Cinta Epson Xl 300</t>
  </si>
  <si>
    <t>Cinta Brother</t>
  </si>
  <si>
    <t xml:space="preserve">Grapadora </t>
  </si>
  <si>
    <t xml:space="preserve">Saca Grapa </t>
  </si>
  <si>
    <t xml:space="preserve">Cajas de grapa </t>
  </si>
  <si>
    <t xml:space="preserve">Perforadora </t>
  </si>
  <si>
    <t xml:space="preserve">Dispensador de cinta </t>
  </si>
  <si>
    <t>Cajas de Gomita</t>
  </si>
  <si>
    <t>Tijera</t>
  </si>
  <si>
    <t>Libreta Grande</t>
  </si>
  <si>
    <t xml:space="preserve">Libreta pequeña </t>
  </si>
  <si>
    <t xml:space="preserve">Caja de bolígrafo </t>
  </si>
  <si>
    <t xml:space="preserve">Caja de Marcadores permanente </t>
  </si>
  <si>
    <t>Caja Marcadores de pizarra 12/1</t>
  </si>
  <si>
    <t>Caja de Resaltadores 12/1</t>
  </si>
  <si>
    <t>Caja de Sobre Manila 9x12</t>
  </si>
  <si>
    <t>Caja de Sobre Manila 10x13</t>
  </si>
  <si>
    <t>Record</t>
  </si>
  <si>
    <t>Caja Clip Billetera 51 mm 1/12</t>
  </si>
  <si>
    <t>Caja Clip Billetera 25 mm 1/12</t>
  </si>
  <si>
    <t>Caja Clip Billetera 32 mm</t>
  </si>
  <si>
    <t>Porta Clip</t>
  </si>
  <si>
    <t>Caja de Clip</t>
  </si>
  <si>
    <t>Caja Sobre de carta timbrado</t>
  </si>
  <si>
    <t>Postic de color</t>
  </si>
  <si>
    <t>Postic</t>
  </si>
  <si>
    <t>Ficha 6x4</t>
  </si>
  <si>
    <t xml:space="preserve">Porta Lápiz </t>
  </si>
  <si>
    <t xml:space="preserve">Caja de Label </t>
  </si>
  <si>
    <t>Papel para encuadernar</t>
  </si>
  <si>
    <t>Espiral para encuadernar 12mm</t>
  </si>
  <si>
    <t>Espiral para encuadernar 14mm</t>
  </si>
  <si>
    <t>Espiral para encuadernar 16mm</t>
  </si>
  <si>
    <t xml:space="preserve">Bandeja de folder </t>
  </si>
  <si>
    <t xml:space="preserve">Tinta de sello </t>
  </si>
  <si>
    <t xml:space="preserve">Almohadilla para sello </t>
  </si>
  <si>
    <t>Paq. Divisores</t>
  </si>
  <si>
    <t xml:space="preserve">Chincheta de colores </t>
  </si>
  <si>
    <t xml:space="preserve">Porta tarjeta </t>
  </si>
  <si>
    <t xml:space="preserve">Tabla con gancho </t>
  </si>
  <si>
    <t xml:space="preserve">Juego de reglas </t>
  </si>
  <si>
    <t xml:space="preserve">Calculadora </t>
  </si>
  <si>
    <t>04//02/2022</t>
  </si>
  <si>
    <t xml:space="preserve">Bloque de comprobante de caja chica </t>
  </si>
  <si>
    <t xml:space="preserve">Bloque de autorización desembolso de caja chica </t>
  </si>
  <si>
    <t xml:space="preserve">Total </t>
  </si>
  <si>
    <t>Sobre de carta blanco 500/1</t>
  </si>
  <si>
    <t xml:space="preserve">Materiales de Limpieza </t>
  </si>
  <si>
    <t>Papel Higiénico 12/1</t>
  </si>
  <si>
    <t>Papel Toalla de Baño 6/1</t>
  </si>
  <si>
    <t>Papel Toalla de cocina 24/1</t>
  </si>
  <si>
    <t>Paq. De servilleta 10/1 500/1</t>
  </si>
  <si>
    <t>Faldo de servilleta rectangular 30/100/1</t>
  </si>
  <si>
    <t>Paq. De vaso #5 50/1</t>
  </si>
  <si>
    <t>Paq. De vaso #10 50/1</t>
  </si>
  <si>
    <t xml:space="preserve"> </t>
  </si>
  <si>
    <t>Caja Ambientadores 12/1</t>
  </si>
  <si>
    <t>Gl. De la Lavaplatos</t>
  </si>
  <si>
    <t>Gl. De Lavamanos</t>
  </si>
  <si>
    <t>Gl. De Limpiacristales</t>
  </si>
  <si>
    <t xml:space="preserve">Gl. De Limpiador Profundo </t>
  </si>
  <si>
    <t>Gl. De Cloro</t>
  </si>
  <si>
    <t>Saco de Ace 30 Lb</t>
  </si>
  <si>
    <t>Gl. De Mistolin</t>
  </si>
  <si>
    <t>Gl. De Shampoo para carro</t>
  </si>
  <si>
    <t xml:space="preserve">Agua de bateria </t>
  </si>
  <si>
    <t>Gl. Amorol para vehículo</t>
  </si>
  <si>
    <t>Gl. De Desgrasante</t>
  </si>
  <si>
    <t>Gl. De Gel Antibacterial</t>
  </si>
  <si>
    <t>Gl. Alcohol</t>
  </si>
  <si>
    <t>Suape #36</t>
  </si>
  <si>
    <t>Escoba</t>
  </si>
  <si>
    <t>Brillo Gordo</t>
  </si>
  <si>
    <t>Esponja de Fregar</t>
  </si>
  <si>
    <t>Paq. Funda de 55 Gl 100/1</t>
  </si>
  <si>
    <t>Paq. Funda de 30 Gl 100/1</t>
  </si>
  <si>
    <t>Pares de guantes</t>
  </si>
  <si>
    <t xml:space="preserve">Toallas </t>
  </si>
  <si>
    <t>Lanilla</t>
  </si>
  <si>
    <t>Cubeta</t>
  </si>
  <si>
    <t>Escobilla</t>
  </si>
  <si>
    <t>Pastilla de Inodoro</t>
  </si>
  <si>
    <t>Dispensador papel higiénico jumbo</t>
  </si>
  <si>
    <t xml:space="preserve">Jose Ernesto Heredia </t>
  </si>
  <si>
    <t xml:space="preserve">Enc. Servicio Generales </t>
  </si>
  <si>
    <t xml:space="preserve">Materiales de Oficina </t>
  </si>
  <si>
    <t>2</t>
  </si>
  <si>
    <t xml:space="preserve">Plato desechable c/tapa </t>
  </si>
  <si>
    <t>Plato Llano</t>
  </si>
  <si>
    <t>Plata Divisores/3</t>
  </si>
  <si>
    <t>Papel Cellophen</t>
  </si>
  <si>
    <t>Segueta Roja Bimetal</t>
  </si>
  <si>
    <t>n/a</t>
  </si>
  <si>
    <t>Llave plomero</t>
  </si>
  <si>
    <t xml:space="preserve"> Cinta Electrica 3M</t>
  </si>
  <si>
    <t>Teflon 3/4</t>
  </si>
  <si>
    <t>chalecos Seguridad</t>
  </si>
  <si>
    <t>tinner Removedor</t>
  </si>
  <si>
    <t>Caja Herramientas</t>
  </si>
  <si>
    <t>Alicate Presion</t>
  </si>
  <si>
    <t>Destornillador</t>
  </si>
  <si>
    <t>Taladro</t>
  </si>
  <si>
    <t>Regleta 6/1 salida</t>
  </si>
  <si>
    <t>extencion elect.110v</t>
  </si>
  <si>
    <t>Alambre Elect.#12</t>
  </si>
  <si>
    <t>Alambre Elect. #10</t>
  </si>
  <si>
    <t>Alambre Elect. #8</t>
  </si>
  <si>
    <t>Pinza No.6</t>
  </si>
  <si>
    <t>Fajas Protectora</t>
  </si>
  <si>
    <t>Cargador Bateria 1.5</t>
  </si>
  <si>
    <t>Cables Jumpear</t>
  </si>
  <si>
    <t>Compresor Mini</t>
  </si>
  <si>
    <t>Lampara Led 12*48</t>
  </si>
  <si>
    <t>Lampara Led 8*8 Pul.</t>
  </si>
  <si>
    <t>Tubo PVC</t>
  </si>
  <si>
    <t>Curva 3/4</t>
  </si>
  <si>
    <t>Pintura Semiglos Blanco .00</t>
  </si>
  <si>
    <t>Llaves plomero 10-17</t>
  </si>
  <si>
    <t>Breaker 32A</t>
  </si>
  <si>
    <t>Breaker 20A</t>
  </si>
  <si>
    <t>Pintura Trafico Amarilla</t>
  </si>
  <si>
    <t>Panel Led Blanco</t>
  </si>
  <si>
    <t>Panel Led Sensor</t>
  </si>
  <si>
    <t>Tarugo 5/16*2</t>
  </si>
  <si>
    <t>Tarugo 1/4*2</t>
  </si>
  <si>
    <t>Tarugo 3/8*2</t>
  </si>
  <si>
    <t>Canaleta 18*13</t>
  </si>
  <si>
    <t>Pintura Blanco hueso</t>
  </si>
  <si>
    <t>Casco Seguridad</t>
  </si>
  <si>
    <t>Brocha 2-12</t>
  </si>
  <si>
    <t>Brocha 3</t>
  </si>
  <si>
    <t>Mini Rolo 15 Cm</t>
  </si>
  <si>
    <t>Mota pintar 9*1/4</t>
  </si>
  <si>
    <t>Barrena 3/8x5</t>
  </si>
  <si>
    <t>Barrena 5/16x5</t>
  </si>
  <si>
    <t>Barrena 1/4</t>
  </si>
  <si>
    <t>12</t>
  </si>
  <si>
    <t>1.5</t>
  </si>
  <si>
    <t>Dispensador papel toalla Inodoro</t>
  </si>
  <si>
    <t>Docena Lápiz 12/1</t>
  </si>
  <si>
    <t>20/03/2023</t>
  </si>
  <si>
    <t>Caja de Guante Desechable 100/1</t>
  </si>
  <si>
    <t>Papel Aluminio 12/1</t>
  </si>
  <si>
    <t>Recogedor de Basura</t>
  </si>
  <si>
    <t>Inventario de Almacen Enero/ Marzo 2023</t>
  </si>
  <si>
    <t>20/03/2024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</si>
</sst>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 wrapText="1"/>
    </xf>
    <xf numFmtId="43" fontId="0" fillId="0" borderId="0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14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3" fontId="0" fillId="0" borderId="2" xfId="1" applyFont="1" applyBorder="1" applyAlignment="1">
      <alignment horizontal="right" vertical="center" wrapText="1"/>
    </xf>
    <xf numFmtId="0" fontId="2" fillId="2" borderId="0" xfId="2" applyAlignment="1">
      <alignment horizontal="center"/>
    </xf>
    <xf numFmtId="43" fontId="2" fillId="2" borderId="0" xfId="2" applyNumberFormat="1" applyAlignment="1">
      <alignment horizontal="right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 wrapText="1"/>
    </xf>
    <xf numFmtId="0" fontId="4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43" fontId="11" fillId="4" borderId="1" xfId="1" applyFont="1" applyFill="1" applyBorder="1" applyAlignment="1">
      <alignment horizontal="righ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3" fontId="12" fillId="0" borderId="1" xfId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right" vertical="center" wrapText="1"/>
    </xf>
    <xf numFmtId="1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3" fontId="11" fillId="0" borderId="3" xfId="1" applyFont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1" applyFont="1" applyBorder="1" applyAlignment="1">
      <alignment horizontal="right" vertical="center" wrapText="1"/>
    </xf>
    <xf numFmtId="0" fontId="0" fillId="0" borderId="0" xfId="0" applyBorder="1"/>
    <xf numFmtId="43" fontId="14" fillId="2" borderId="0" xfId="2" applyNumberFormat="1" applyFont="1"/>
    <xf numFmtId="0" fontId="14" fillId="2" borderId="0" xfId="2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3">
    <cellStyle name="Millares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02"/>
  <sheetViews>
    <sheetView zoomScaleNormal="100" workbookViewId="0">
      <selection activeCell="D9" sqref="D9"/>
    </sheetView>
  </sheetViews>
  <sheetFormatPr baseColWidth="10" defaultRowHeight="15"/>
  <cols>
    <col min="1" max="1" width="11.5703125" style="11" customWidth="1"/>
    <col min="2" max="2" width="11.85546875" style="11" customWidth="1"/>
    <col min="3" max="3" width="9.85546875" customWidth="1"/>
    <col min="4" max="4" width="18.28515625" customWidth="1"/>
    <col min="5" max="5" width="10" customWidth="1"/>
    <col min="6" max="6" width="11.85546875" bestFit="1" customWidth="1"/>
    <col min="10" max="10" width="11.85546875" bestFit="1" customWidth="1"/>
  </cols>
  <sheetData>
    <row r="5" spans="1:10" ht="21">
      <c r="A5" s="25" t="s">
        <v>190</v>
      </c>
      <c r="B5" s="25"/>
      <c r="C5" s="25"/>
      <c r="D5" s="25"/>
      <c r="E5" s="25"/>
      <c r="F5" s="25"/>
    </row>
    <row r="6" spans="1:10" ht="21">
      <c r="A6" s="26" t="s">
        <v>131</v>
      </c>
      <c r="B6" s="26"/>
      <c r="C6" s="26"/>
      <c r="D6" s="26"/>
      <c r="E6" s="26"/>
      <c r="F6" s="26"/>
    </row>
    <row r="7" spans="1:10" ht="25.5">
      <c r="A7" s="31" t="s">
        <v>0</v>
      </c>
      <c r="B7" s="32" t="s">
        <v>1</v>
      </c>
      <c r="C7" s="33" t="s">
        <v>2</v>
      </c>
      <c r="D7" s="33" t="s">
        <v>3</v>
      </c>
      <c r="E7" s="33" t="s">
        <v>4</v>
      </c>
      <c r="F7" s="33" t="s">
        <v>5</v>
      </c>
      <c r="J7" s="1"/>
    </row>
    <row r="8" spans="1:10" ht="19.5" customHeight="1">
      <c r="A8" s="34">
        <v>44438</v>
      </c>
      <c r="B8" s="34">
        <v>44075</v>
      </c>
      <c r="C8" s="35" t="s">
        <v>6</v>
      </c>
      <c r="D8" s="36" t="s">
        <v>7</v>
      </c>
      <c r="E8" s="35">
        <v>8</v>
      </c>
      <c r="F8" s="37">
        <f>735.29*8</f>
        <v>5882.32</v>
      </c>
      <c r="J8" s="6"/>
    </row>
    <row r="9" spans="1:10" ht="25.5">
      <c r="A9" s="38">
        <v>44720</v>
      </c>
      <c r="B9" s="38">
        <v>44721</v>
      </c>
      <c r="C9" s="39" t="s">
        <v>6</v>
      </c>
      <c r="D9" s="40" t="s">
        <v>8</v>
      </c>
      <c r="E9" s="39">
        <v>68</v>
      </c>
      <c r="F9" s="41">
        <f>255*E9</f>
        <v>17340</v>
      </c>
      <c r="J9" s="6"/>
    </row>
    <row r="10" spans="1:10" ht="25.5">
      <c r="A10" s="38">
        <v>44470</v>
      </c>
      <c r="B10" s="42" t="s">
        <v>9</v>
      </c>
      <c r="C10" s="39" t="s">
        <v>6</v>
      </c>
      <c r="D10" s="40" t="s">
        <v>10</v>
      </c>
      <c r="E10" s="39">
        <v>15</v>
      </c>
      <c r="F10" s="41">
        <f>995*15</f>
        <v>14925</v>
      </c>
      <c r="J10" s="6"/>
    </row>
    <row r="11" spans="1:10" ht="25.5">
      <c r="A11" s="38">
        <v>44286</v>
      </c>
      <c r="B11" s="38">
        <v>44292</v>
      </c>
      <c r="C11" s="39" t="s">
        <v>6</v>
      </c>
      <c r="D11" s="40" t="s">
        <v>11</v>
      </c>
      <c r="E11" s="39">
        <v>1</v>
      </c>
      <c r="F11" s="41">
        <f>1350*1</f>
        <v>1350</v>
      </c>
      <c r="J11" s="6"/>
    </row>
    <row r="12" spans="1:10">
      <c r="A12" s="38">
        <v>44720</v>
      </c>
      <c r="B12" s="38">
        <v>44721</v>
      </c>
      <c r="C12" s="39" t="s">
        <v>6</v>
      </c>
      <c r="D12" s="40" t="s">
        <v>12</v>
      </c>
      <c r="E12" s="39">
        <v>10</v>
      </c>
      <c r="F12" s="41">
        <f>289*E12</f>
        <v>2890</v>
      </c>
      <c r="J12" s="6"/>
    </row>
    <row r="13" spans="1:10" ht="20.25" customHeight="1">
      <c r="A13" s="38" t="s">
        <v>13</v>
      </c>
      <c r="B13" s="38">
        <v>44056</v>
      </c>
      <c r="C13" s="39" t="s">
        <v>6</v>
      </c>
      <c r="D13" s="40" t="s">
        <v>14</v>
      </c>
      <c r="E13" s="39">
        <v>2</v>
      </c>
      <c r="F13" s="41">
        <f>250*2</f>
        <v>500</v>
      </c>
      <c r="J13" s="6"/>
    </row>
    <row r="14" spans="1:10" ht="25.5">
      <c r="A14" s="38">
        <v>44438</v>
      </c>
      <c r="B14" s="38">
        <v>44075</v>
      </c>
      <c r="C14" s="39" t="s">
        <v>6</v>
      </c>
      <c r="D14" s="40" t="s">
        <v>15</v>
      </c>
      <c r="E14" s="39">
        <v>2.5</v>
      </c>
      <c r="F14" s="41">
        <f>300*2.5</f>
        <v>750</v>
      </c>
      <c r="J14" s="6"/>
    </row>
    <row r="15" spans="1:10" ht="25.5">
      <c r="A15" s="38">
        <v>44438</v>
      </c>
      <c r="B15" s="38">
        <v>44075</v>
      </c>
      <c r="C15" s="39" t="s">
        <v>6</v>
      </c>
      <c r="D15" s="40" t="s">
        <v>16</v>
      </c>
      <c r="E15" s="39">
        <v>2.5</v>
      </c>
      <c r="F15" s="41">
        <f>402.33*2.5</f>
        <v>1005.8249999999999</v>
      </c>
      <c r="J15" s="6"/>
    </row>
    <row r="16" spans="1:10" ht="25.5">
      <c r="A16" s="38">
        <v>44438</v>
      </c>
      <c r="B16" s="38">
        <v>44075</v>
      </c>
      <c r="C16" s="39" t="s">
        <v>6</v>
      </c>
      <c r="D16" s="40" t="s">
        <v>17</v>
      </c>
      <c r="E16" s="39">
        <v>3</v>
      </c>
      <c r="F16" s="41">
        <f>575.73*3</f>
        <v>1727.19</v>
      </c>
      <c r="J16" s="6"/>
    </row>
    <row r="17" spans="1:10">
      <c r="A17" s="38">
        <v>44986</v>
      </c>
      <c r="B17" s="38">
        <v>44987</v>
      </c>
      <c r="C17" s="39" t="s">
        <v>6</v>
      </c>
      <c r="D17" s="40" t="s">
        <v>18</v>
      </c>
      <c r="E17" s="39">
        <v>4</v>
      </c>
      <c r="F17" s="41">
        <f>2750*E17</f>
        <v>11000</v>
      </c>
      <c r="J17" s="6"/>
    </row>
    <row r="18" spans="1:10">
      <c r="A18" s="38">
        <v>43749</v>
      </c>
      <c r="B18" s="38">
        <v>43749</v>
      </c>
      <c r="C18" s="39" t="s">
        <v>6</v>
      </c>
      <c r="D18" s="40" t="s">
        <v>19</v>
      </c>
      <c r="E18" s="39">
        <v>1</v>
      </c>
      <c r="F18" s="41">
        <f>2500*1</f>
        <v>2500</v>
      </c>
      <c r="J18" s="6"/>
    </row>
    <row r="19" spans="1:10">
      <c r="A19" s="38">
        <v>43749</v>
      </c>
      <c r="B19" s="38">
        <v>43749</v>
      </c>
      <c r="C19" s="39" t="s">
        <v>6</v>
      </c>
      <c r="D19" s="40" t="s">
        <v>20</v>
      </c>
      <c r="E19" s="39">
        <v>1</v>
      </c>
      <c r="F19" s="41">
        <v>2500</v>
      </c>
      <c r="J19" s="6"/>
    </row>
    <row r="20" spans="1:10">
      <c r="A20" s="38">
        <v>43749</v>
      </c>
      <c r="B20" s="38">
        <v>43749</v>
      </c>
      <c r="C20" s="39" t="s">
        <v>6</v>
      </c>
      <c r="D20" s="40" t="s">
        <v>21</v>
      </c>
      <c r="E20" s="39">
        <v>1</v>
      </c>
      <c r="F20" s="41">
        <v>2500</v>
      </c>
      <c r="J20" s="6"/>
    </row>
    <row r="21" spans="1:10">
      <c r="A21" s="38">
        <v>44509</v>
      </c>
      <c r="B21" s="38">
        <v>44518</v>
      </c>
      <c r="C21" s="39" t="s">
        <v>6</v>
      </c>
      <c r="D21" s="40" t="s">
        <v>22</v>
      </c>
      <c r="E21" s="39">
        <v>3</v>
      </c>
      <c r="F21" s="41">
        <f>2796.61*E21</f>
        <v>8389.83</v>
      </c>
      <c r="J21" s="6"/>
    </row>
    <row r="22" spans="1:10">
      <c r="A22" s="38">
        <v>44986</v>
      </c>
      <c r="B22" s="38">
        <v>44988</v>
      </c>
      <c r="C22" s="39" t="s">
        <v>6</v>
      </c>
      <c r="D22" s="40" t="s">
        <v>23</v>
      </c>
      <c r="E22" s="39">
        <v>1</v>
      </c>
      <c r="F22" s="41">
        <f>1*8474.58</f>
        <v>8474.58</v>
      </c>
      <c r="J22" s="6"/>
    </row>
    <row r="23" spans="1:10">
      <c r="A23" s="38">
        <v>44026</v>
      </c>
      <c r="B23" s="38">
        <v>43996</v>
      </c>
      <c r="C23" s="39" t="s">
        <v>6</v>
      </c>
      <c r="D23" s="40" t="s">
        <v>24</v>
      </c>
      <c r="E23" s="39">
        <v>2</v>
      </c>
      <c r="F23" s="41">
        <f>3010*2</f>
        <v>6020</v>
      </c>
      <c r="J23" s="6"/>
    </row>
    <row r="24" spans="1:10">
      <c r="A24" s="38">
        <v>44986</v>
      </c>
      <c r="B24" s="38">
        <v>44988</v>
      </c>
      <c r="C24" s="39" t="s">
        <v>6</v>
      </c>
      <c r="D24" s="40" t="s">
        <v>25</v>
      </c>
      <c r="E24" s="39">
        <v>1</v>
      </c>
      <c r="F24" s="41">
        <f>2796.61*2</f>
        <v>5593.22</v>
      </c>
      <c r="J24" s="6"/>
    </row>
    <row r="25" spans="1:10" ht="14.25" customHeight="1">
      <c r="A25" s="38">
        <v>44616</v>
      </c>
      <c r="B25" s="38">
        <v>44617</v>
      </c>
      <c r="C25" s="39" t="s">
        <v>6</v>
      </c>
      <c r="D25" s="40" t="s">
        <v>26</v>
      </c>
      <c r="E25" s="39">
        <v>1</v>
      </c>
      <c r="F25" s="41">
        <v>8400</v>
      </c>
      <c r="J25" s="6"/>
    </row>
    <row r="26" spans="1:10" ht="18" customHeight="1">
      <c r="A26" s="38">
        <v>44028</v>
      </c>
      <c r="B26" s="38">
        <v>44351</v>
      </c>
      <c r="C26" s="39" t="s">
        <v>6</v>
      </c>
      <c r="D26" s="40" t="s">
        <v>27</v>
      </c>
      <c r="E26" s="39">
        <v>15</v>
      </c>
      <c r="F26" s="41">
        <f>2400*15</f>
        <v>36000</v>
      </c>
      <c r="J26" s="6"/>
    </row>
    <row r="27" spans="1:10">
      <c r="A27" s="38">
        <v>44028</v>
      </c>
      <c r="B27" s="38">
        <v>44351</v>
      </c>
      <c r="C27" s="39" t="s">
        <v>6</v>
      </c>
      <c r="D27" s="40" t="s">
        <v>28</v>
      </c>
      <c r="E27" s="39">
        <v>1</v>
      </c>
      <c r="F27" s="43">
        <f>3455</f>
        <v>3455</v>
      </c>
      <c r="J27" s="7"/>
    </row>
    <row r="28" spans="1:10" ht="18" customHeight="1">
      <c r="A28" s="38">
        <v>44986</v>
      </c>
      <c r="B28" s="38">
        <v>44988</v>
      </c>
      <c r="C28" s="39" t="s">
        <v>6</v>
      </c>
      <c r="D28" s="40" t="s">
        <v>29</v>
      </c>
      <c r="E28" s="39">
        <v>2</v>
      </c>
      <c r="F28" s="41">
        <f>2*7097.46</f>
        <v>14194.92</v>
      </c>
      <c r="J28" s="6"/>
    </row>
    <row r="29" spans="1:10">
      <c r="A29" s="38">
        <v>44041</v>
      </c>
      <c r="B29" s="38">
        <v>44041</v>
      </c>
      <c r="C29" s="39" t="s">
        <v>6</v>
      </c>
      <c r="D29" s="40" t="s">
        <v>30</v>
      </c>
      <c r="E29" s="39">
        <v>2</v>
      </c>
      <c r="F29" s="41">
        <f>950*2</f>
        <v>1900</v>
      </c>
      <c r="J29" s="6"/>
    </row>
    <row r="30" spans="1:10" ht="25.5">
      <c r="A30" s="38">
        <v>44986</v>
      </c>
      <c r="B30" s="38">
        <v>44518</v>
      </c>
      <c r="C30" s="39" t="s">
        <v>6</v>
      </c>
      <c r="D30" s="40" t="s">
        <v>31</v>
      </c>
      <c r="E30" s="39">
        <v>5</v>
      </c>
      <c r="F30" s="41">
        <f>1580*5</f>
        <v>7900</v>
      </c>
      <c r="J30" s="6"/>
    </row>
    <row r="31" spans="1:10" ht="25.5">
      <c r="A31" s="38">
        <v>44986</v>
      </c>
      <c r="B31" s="38">
        <v>44511</v>
      </c>
      <c r="C31" s="39" t="s">
        <v>6</v>
      </c>
      <c r="D31" s="40" t="s">
        <v>32</v>
      </c>
      <c r="E31" s="39">
        <v>2</v>
      </c>
      <c r="F31" s="41">
        <f>2*1580</f>
        <v>3160</v>
      </c>
      <c r="J31" s="6"/>
    </row>
    <row r="32" spans="1:10" ht="25.5">
      <c r="A32" s="38">
        <v>44986</v>
      </c>
      <c r="B32" s="38">
        <v>44044</v>
      </c>
      <c r="C32" s="39" t="s">
        <v>6</v>
      </c>
      <c r="D32" s="40" t="s">
        <v>33</v>
      </c>
      <c r="E32" s="39">
        <v>2</v>
      </c>
      <c r="F32" s="41">
        <f>1450*2</f>
        <v>2900</v>
      </c>
      <c r="J32" s="6"/>
    </row>
    <row r="33" spans="1:10" ht="25.5">
      <c r="A33" s="38">
        <v>44986</v>
      </c>
      <c r="B33" s="38">
        <v>44987</v>
      </c>
      <c r="C33" s="39" t="s">
        <v>6</v>
      </c>
      <c r="D33" s="40" t="s">
        <v>34</v>
      </c>
      <c r="E33" s="39">
        <v>8</v>
      </c>
      <c r="F33" s="41">
        <f>1703.25*E33</f>
        <v>13626</v>
      </c>
      <c r="J33" s="6"/>
    </row>
    <row r="34" spans="1:10" ht="25.5">
      <c r="A34" s="38">
        <v>44986</v>
      </c>
      <c r="B34" s="38">
        <v>44774</v>
      </c>
      <c r="C34" s="39" t="s">
        <v>6</v>
      </c>
      <c r="D34" s="40" t="s">
        <v>35</v>
      </c>
      <c r="E34" s="39">
        <v>1</v>
      </c>
      <c r="F34" s="41">
        <f>1657*E34</f>
        <v>1657</v>
      </c>
      <c r="J34" s="6"/>
    </row>
    <row r="35" spans="1:10" ht="38.25">
      <c r="A35" s="38">
        <v>44986</v>
      </c>
      <c r="B35" s="38">
        <v>44774</v>
      </c>
      <c r="C35" s="39" t="s">
        <v>6</v>
      </c>
      <c r="D35" s="40" t="s">
        <v>36</v>
      </c>
      <c r="E35" s="39">
        <v>8</v>
      </c>
      <c r="F35" s="41">
        <f>E35*1200</f>
        <v>9600</v>
      </c>
      <c r="J35" s="6"/>
    </row>
    <row r="36" spans="1:10" s="61" customFormat="1">
      <c r="A36" s="57"/>
      <c r="B36" s="57"/>
      <c r="C36" s="58"/>
      <c r="D36" s="59"/>
      <c r="E36" s="58"/>
      <c r="F36" s="60"/>
      <c r="J36" s="6"/>
    </row>
    <row r="37" spans="1:10" s="61" customFormat="1">
      <c r="A37" s="57"/>
      <c r="B37" s="57"/>
      <c r="C37" s="58"/>
      <c r="D37" s="59"/>
      <c r="E37" s="58"/>
      <c r="F37" s="60"/>
      <c r="J37" s="6"/>
    </row>
    <row r="38" spans="1:10" s="61" customFormat="1">
      <c r="A38" s="57"/>
      <c r="B38" s="57"/>
      <c r="C38" s="58"/>
      <c r="D38" s="59"/>
      <c r="E38" s="58"/>
      <c r="F38" s="60"/>
      <c r="J38" s="6"/>
    </row>
    <row r="39" spans="1:10">
      <c r="A39" s="53">
        <v>44986</v>
      </c>
      <c r="B39" s="53">
        <v>44987</v>
      </c>
      <c r="C39" s="54" t="s">
        <v>6</v>
      </c>
      <c r="D39" s="55" t="s">
        <v>185</v>
      </c>
      <c r="E39" s="54">
        <v>4</v>
      </c>
      <c r="F39" s="56">
        <f>4*145.5</f>
        <v>582</v>
      </c>
      <c r="J39" s="6"/>
    </row>
    <row r="40" spans="1:10">
      <c r="A40" s="38">
        <v>44509</v>
      </c>
      <c r="B40" s="38">
        <v>44987</v>
      </c>
      <c r="C40" s="39" t="s">
        <v>6</v>
      </c>
      <c r="D40" s="40" t="s">
        <v>37</v>
      </c>
      <c r="E40" s="39">
        <v>11</v>
      </c>
      <c r="F40" s="41">
        <f>10*E40</f>
        <v>110</v>
      </c>
      <c r="J40" s="6"/>
    </row>
    <row r="41" spans="1:10">
      <c r="A41" s="38">
        <v>44438</v>
      </c>
      <c r="B41" s="38">
        <v>44987</v>
      </c>
      <c r="C41" s="39" t="s">
        <v>6</v>
      </c>
      <c r="D41" s="40" t="s">
        <v>38</v>
      </c>
      <c r="E41" s="39">
        <v>37</v>
      </c>
      <c r="F41" s="41">
        <f>18.72*E41</f>
        <v>692.64</v>
      </c>
      <c r="J41" s="6"/>
    </row>
    <row r="42" spans="1:10">
      <c r="A42" s="38">
        <v>44757</v>
      </c>
      <c r="B42" s="38">
        <v>44987</v>
      </c>
      <c r="C42" s="39" t="s">
        <v>6</v>
      </c>
      <c r="D42" s="40" t="s">
        <v>39</v>
      </c>
      <c r="E42" s="39">
        <v>12</v>
      </c>
      <c r="F42" s="41">
        <f>18.59*12</f>
        <v>223.07999999999998</v>
      </c>
      <c r="J42" s="6"/>
    </row>
    <row r="43" spans="1:10" ht="25.5">
      <c r="A43" s="38">
        <v>44051</v>
      </c>
      <c r="B43" s="38">
        <v>44051</v>
      </c>
      <c r="C43" s="39" t="s">
        <v>6</v>
      </c>
      <c r="D43" s="40" t="s">
        <v>40</v>
      </c>
      <c r="E43" s="39">
        <v>11</v>
      </c>
      <c r="F43" s="41">
        <f>36*E43</f>
        <v>396</v>
      </c>
      <c r="J43" s="6"/>
    </row>
    <row r="44" spans="1:10">
      <c r="A44" s="38">
        <v>44257</v>
      </c>
      <c r="B44" s="38">
        <v>44987</v>
      </c>
      <c r="C44" s="39" t="s">
        <v>6</v>
      </c>
      <c r="D44" s="40" t="s">
        <v>41</v>
      </c>
      <c r="E44" s="39">
        <v>1</v>
      </c>
      <c r="F44" s="41">
        <f>875*E44</f>
        <v>875</v>
      </c>
      <c r="J44" s="6"/>
    </row>
    <row r="45" spans="1:10">
      <c r="A45" s="38">
        <v>44418</v>
      </c>
      <c r="B45" s="38">
        <v>44053</v>
      </c>
      <c r="C45" s="39" t="s">
        <v>6</v>
      </c>
      <c r="D45" s="40" t="s">
        <v>42</v>
      </c>
      <c r="E45" s="39">
        <v>1</v>
      </c>
      <c r="F45" s="41">
        <f>390*1</f>
        <v>390</v>
      </c>
      <c r="J45" s="6"/>
    </row>
    <row r="46" spans="1:10">
      <c r="A46" s="38">
        <v>44757</v>
      </c>
      <c r="B46" s="38">
        <v>44760</v>
      </c>
      <c r="C46" s="39" t="s">
        <v>6</v>
      </c>
      <c r="D46" s="40" t="s">
        <v>43</v>
      </c>
      <c r="E46" s="39">
        <v>5</v>
      </c>
      <c r="F46" s="41">
        <f>90*E46</f>
        <v>450</v>
      </c>
      <c r="J46" s="6"/>
    </row>
    <row r="47" spans="1:10">
      <c r="A47" s="38">
        <v>44056</v>
      </c>
      <c r="B47" s="38">
        <v>44056</v>
      </c>
      <c r="C47" s="39" t="s">
        <v>6</v>
      </c>
      <c r="D47" s="40" t="s">
        <v>44</v>
      </c>
      <c r="E47" s="39">
        <v>1.5</v>
      </c>
      <c r="F47" s="41">
        <f>300*1.5</f>
        <v>450</v>
      </c>
      <c r="J47" s="6"/>
    </row>
    <row r="48" spans="1:10">
      <c r="A48" s="38">
        <v>44757</v>
      </c>
      <c r="B48" s="38">
        <v>44760</v>
      </c>
      <c r="C48" s="39" t="s">
        <v>6</v>
      </c>
      <c r="D48" s="40" t="s">
        <v>45</v>
      </c>
      <c r="E48" s="39">
        <v>14</v>
      </c>
      <c r="F48" s="41">
        <f>86.2*E48</f>
        <v>1206.8</v>
      </c>
      <c r="J48" s="6"/>
    </row>
    <row r="49" spans="1:10">
      <c r="A49" s="38">
        <v>44257</v>
      </c>
      <c r="B49" s="38">
        <v>44284</v>
      </c>
      <c r="C49" s="39" t="s">
        <v>6</v>
      </c>
      <c r="D49" s="40" t="s">
        <v>46</v>
      </c>
      <c r="E49" s="39">
        <v>6</v>
      </c>
      <c r="F49" s="41">
        <f>E49*420</f>
        <v>2520</v>
      </c>
      <c r="J49" s="6"/>
    </row>
    <row r="50" spans="1:10">
      <c r="A50" s="38">
        <v>44257</v>
      </c>
      <c r="B50" s="38">
        <v>44284</v>
      </c>
      <c r="C50" s="39" t="s">
        <v>6</v>
      </c>
      <c r="D50" s="40" t="s">
        <v>47</v>
      </c>
      <c r="E50" s="39">
        <v>6</v>
      </c>
      <c r="F50" s="41">
        <f>205*E50</f>
        <v>1230</v>
      </c>
      <c r="J50" s="6"/>
    </row>
    <row r="51" spans="1:10">
      <c r="A51" s="38">
        <v>44757</v>
      </c>
      <c r="B51" s="38">
        <v>44760</v>
      </c>
      <c r="C51" s="39" t="s">
        <v>6</v>
      </c>
      <c r="D51" s="40" t="s">
        <v>48</v>
      </c>
      <c r="E51" s="39">
        <v>5</v>
      </c>
      <c r="F51" s="41">
        <f>595*E51</f>
        <v>2975</v>
      </c>
      <c r="J51" s="6"/>
    </row>
    <row r="52" spans="1:10">
      <c r="A52" s="38">
        <v>44757</v>
      </c>
      <c r="B52" s="38">
        <v>44760</v>
      </c>
      <c r="C52" s="39" t="s">
        <v>6</v>
      </c>
      <c r="D52" s="40" t="s">
        <v>49</v>
      </c>
      <c r="E52" s="39">
        <v>8</v>
      </c>
      <c r="F52" s="41">
        <f>40.5*E52</f>
        <v>324</v>
      </c>
      <c r="J52" s="6"/>
    </row>
    <row r="53" spans="1:10">
      <c r="A53" s="38">
        <v>44257</v>
      </c>
      <c r="B53" s="38">
        <v>44284</v>
      </c>
      <c r="C53" s="39" t="s">
        <v>6</v>
      </c>
      <c r="D53" s="40" t="s">
        <v>50</v>
      </c>
      <c r="E53" s="39">
        <v>4</v>
      </c>
      <c r="F53" s="41">
        <f>45*E53</f>
        <v>180</v>
      </c>
      <c r="J53" s="6"/>
    </row>
    <row r="54" spans="1:10">
      <c r="A54" s="38">
        <v>44438</v>
      </c>
      <c r="B54" s="38">
        <v>44075</v>
      </c>
      <c r="C54" s="39" t="s">
        <v>6</v>
      </c>
      <c r="D54" s="40" t="s">
        <v>51</v>
      </c>
      <c r="E54" s="39">
        <v>3</v>
      </c>
      <c r="F54" s="41">
        <f>322.65*3</f>
        <v>967.94999999999993</v>
      </c>
      <c r="J54" s="6"/>
    </row>
    <row r="55" spans="1:10">
      <c r="A55" s="38">
        <v>44438</v>
      </c>
      <c r="B55" s="38">
        <v>44075</v>
      </c>
      <c r="C55" s="39" t="s">
        <v>6</v>
      </c>
      <c r="D55" s="40" t="s">
        <v>52</v>
      </c>
      <c r="E55" s="39">
        <v>1</v>
      </c>
      <c r="F55" s="41">
        <f>134.08*E55</f>
        <v>134.08000000000001</v>
      </c>
      <c r="J55" s="6"/>
    </row>
    <row r="56" spans="1:10">
      <c r="A56" s="38">
        <v>43881</v>
      </c>
      <c r="B56" s="38">
        <v>43881</v>
      </c>
      <c r="C56" s="39" t="s">
        <v>6</v>
      </c>
      <c r="D56" s="40" t="s">
        <v>53</v>
      </c>
      <c r="E56" s="39">
        <v>18</v>
      </c>
      <c r="F56" s="41">
        <f>45*17</f>
        <v>765</v>
      </c>
      <c r="J56" s="6"/>
    </row>
    <row r="57" spans="1:10">
      <c r="A57" s="38">
        <v>43881</v>
      </c>
      <c r="B57" s="38">
        <v>43881</v>
      </c>
      <c r="C57" s="39" t="s">
        <v>6</v>
      </c>
      <c r="D57" s="40" t="s">
        <v>54</v>
      </c>
      <c r="E57" s="39">
        <v>0</v>
      </c>
      <c r="F57" s="41">
        <f>10*E57</f>
        <v>0</v>
      </c>
      <c r="J57" s="6"/>
    </row>
    <row r="58" spans="1:10">
      <c r="A58" s="38">
        <v>44757</v>
      </c>
      <c r="B58" s="38">
        <v>44760</v>
      </c>
      <c r="C58" s="39" t="s">
        <v>6</v>
      </c>
      <c r="D58" s="40" t="s">
        <v>55</v>
      </c>
      <c r="E58" s="39">
        <v>48</v>
      </c>
      <c r="F58" s="41">
        <f>42.24*E58</f>
        <v>2027.52</v>
      </c>
      <c r="J58" s="6"/>
    </row>
    <row r="59" spans="1:10">
      <c r="A59" s="38">
        <v>44757</v>
      </c>
      <c r="B59" s="38">
        <v>44760</v>
      </c>
      <c r="C59" s="39" t="s">
        <v>6</v>
      </c>
      <c r="D59" s="40" t="s">
        <v>56</v>
      </c>
      <c r="E59" s="39">
        <v>2</v>
      </c>
      <c r="F59" s="41">
        <f>36*E59</f>
        <v>72</v>
      </c>
      <c r="J59" s="6"/>
    </row>
    <row r="60" spans="1:10">
      <c r="A60" s="38">
        <v>44757</v>
      </c>
      <c r="B60" s="38">
        <v>44760</v>
      </c>
      <c r="C60" s="39" t="s">
        <v>6</v>
      </c>
      <c r="D60" s="40" t="s">
        <v>57</v>
      </c>
      <c r="E60" s="39">
        <v>23</v>
      </c>
      <c r="F60" s="41">
        <f>126.92*E60</f>
        <v>2919.16</v>
      </c>
      <c r="J60" s="6"/>
    </row>
    <row r="61" spans="1:10" ht="25.5">
      <c r="A61" s="38">
        <v>44438</v>
      </c>
      <c r="B61" s="38">
        <v>44075</v>
      </c>
      <c r="C61" s="39" t="s">
        <v>6</v>
      </c>
      <c r="D61" s="40" t="s">
        <v>58</v>
      </c>
      <c r="E61" s="44" t="s">
        <v>132</v>
      </c>
      <c r="F61" s="45">
        <f>2*260</f>
        <v>520</v>
      </c>
      <c r="J61" s="6"/>
    </row>
    <row r="62" spans="1:10" ht="25.5">
      <c r="A62" s="38">
        <v>44438</v>
      </c>
      <c r="B62" s="38">
        <v>44075</v>
      </c>
      <c r="C62" s="39" t="s">
        <v>6</v>
      </c>
      <c r="D62" s="40" t="s">
        <v>59</v>
      </c>
      <c r="E62" s="46">
        <v>0.5</v>
      </c>
      <c r="F62" s="41">
        <f>290.45*1/2</f>
        <v>145.22499999999999</v>
      </c>
      <c r="J62" s="6"/>
    </row>
    <row r="63" spans="1:10" ht="25.5">
      <c r="A63" s="38">
        <v>44438</v>
      </c>
      <c r="B63" s="38">
        <v>44075</v>
      </c>
      <c r="C63" s="39" t="s">
        <v>6</v>
      </c>
      <c r="D63" s="40" t="s">
        <v>60</v>
      </c>
      <c r="E63" s="46">
        <v>1.5</v>
      </c>
      <c r="F63" s="41">
        <f>226*E63</f>
        <v>339</v>
      </c>
      <c r="J63" s="6"/>
    </row>
    <row r="64" spans="1:10" ht="25.5">
      <c r="A64" s="38">
        <v>44257</v>
      </c>
      <c r="B64" s="38">
        <v>44284</v>
      </c>
      <c r="C64" s="39" t="s">
        <v>6</v>
      </c>
      <c r="D64" s="40" t="s">
        <v>61</v>
      </c>
      <c r="E64" s="39">
        <v>3</v>
      </c>
      <c r="F64" s="41">
        <f>2022*1</f>
        <v>2022</v>
      </c>
      <c r="J64" s="6"/>
    </row>
    <row r="65" spans="1:10" ht="25.5">
      <c r="A65" s="38">
        <v>44257</v>
      </c>
      <c r="B65" s="38">
        <v>44284</v>
      </c>
      <c r="C65" s="39" t="s">
        <v>6</v>
      </c>
      <c r="D65" s="40" t="s">
        <v>62</v>
      </c>
      <c r="E65" s="39">
        <v>2</v>
      </c>
      <c r="F65" s="41">
        <f>2022*1</f>
        <v>2022</v>
      </c>
      <c r="J65" s="6"/>
    </row>
    <row r="66" spans="1:10">
      <c r="A66" s="38">
        <v>44438</v>
      </c>
      <c r="B66" s="38">
        <v>44075</v>
      </c>
      <c r="C66" s="39" t="s">
        <v>6</v>
      </c>
      <c r="D66" s="40" t="s">
        <v>63</v>
      </c>
      <c r="E66" s="39">
        <v>2</v>
      </c>
      <c r="F66" s="41">
        <f>219.86*E66</f>
        <v>439.72</v>
      </c>
      <c r="J66" s="6"/>
    </row>
    <row r="67" spans="1:10" ht="25.5">
      <c r="A67" s="38">
        <v>44257</v>
      </c>
      <c r="B67" s="38">
        <v>44284</v>
      </c>
      <c r="C67" s="39" t="s">
        <v>6</v>
      </c>
      <c r="D67" s="40" t="s">
        <v>64</v>
      </c>
      <c r="E67" s="39">
        <v>2</v>
      </c>
      <c r="F67" s="41">
        <f>532*E67</f>
        <v>1064</v>
      </c>
      <c r="J67" s="6"/>
    </row>
    <row r="68" spans="1:10" ht="25.5">
      <c r="A68" s="38">
        <v>44757</v>
      </c>
      <c r="B68" s="38">
        <v>44760</v>
      </c>
      <c r="C68" s="39" t="s">
        <v>6</v>
      </c>
      <c r="D68" s="40" t="s">
        <v>65</v>
      </c>
      <c r="E68" s="39">
        <v>2</v>
      </c>
      <c r="F68" s="41">
        <f>61*E68</f>
        <v>122</v>
      </c>
      <c r="J68" s="6"/>
    </row>
    <row r="69" spans="1:10" ht="25.5">
      <c r="A69" s="38">
        <v>44757</v>
      </c>
      <c r="B69" s="38">
        <v>44760</v>
      </c>
      <c r="C69" s="39" t="s">
        <v>6</v>
      </c>
      <c r="D69" s="40" t="s">
        <v>66</v>
      </c>
      <c r="E69" s="39">
        <v>3</v>
      </c>
      <c r="F69" s="41">
        <v>765</v>
      </c>
      <c r="J69" s="6"/>
    </row>
    <row r="70" spans="1:10">
      <c r="A70" s="38">
        <v>44438</v>
      </c>
      <c r="B70" s="38">
        <v>44075</v>
      </c>
      <c r="C70" s="39" t="s">
        <v>6</v>
      </c>
      <c r="D70" s="40" t="s">
        <v>67</v>
      </c>
      <c r="E70" s="47">
        <v>10</v>
      </c>
      <c r="F70" s="40">
        <f>72.2*E70</f>
        <v>722</v>
      </c>
      <c r="J70" s="8"/>
    </row>
    <row r="71" spans="1:10">
      <c r="A71" s="38">
        <v>44438</v>
      </c>
      <c r="B71" s="38">
        <v>44075</v>
      </c>
      <c r="C71" s="39" t="s">
        <v>6</v>
      </c>
      <c r="D71" s="40" t="s">
        <v>68</v>
      </c>
      <c r="E71" s="39">
        <v>0</v>
      </c>
      <c r="F71" s="41">
        <v>0</v>
      </c>
      <c r="J71" s="6"/>
    </row>
    <row r="72" spans="1:10" ht="39" customHeight="1">
      <c r="A72" s="38">
        <v>44257</v>
      </c>
      <c r="B72" s="38">
        <v>44284</v>
      </c>
      <c r="C72" s="39" t="s">
        <v>6</v>
      </c>
      <c r="D72" s="40" t="s">
        <v>69</v>
      </c>
      <c r="E72" s="39">
        <v>3</v>
      </c>
      <c r="F72" s="41">
        <f>1450*3</f>
        <v>4350</v>
      </c>
      <c r="J72" s="6"/>
    </row>
    <row r="73" spans="1:10" ht="18.75" customHeight="1">
      <c r="A73" s="38">
        <v>44757</v>
      </c>
      <c r="B73" s="38">
        <v>44760</v>
      </c>
      <c r="C73" s="39" t="s">
        <v>6</v>
      </c>
      <c r="D73" s="40" t="s">
        <v>70</v>
      </c>
      <c r="E73" s="39">
        <v>6</v>
      </c>
      <c r="F73" s="41">
        <f>162*E73</f>
        <v>972</v>
      </c>
      <c r="J73" s="6"/>
    </row>
    <row r="74" spans="1:10">
      <c r="A74" s="38">
        <v>44438</v>
      </c>
      <c r="B74" s="38">
        <v>44075</v>
      </c>
      <c r="C74" s="39" t="s">
        <v>6</v>
      </c>
      <c r="D74" s="40" t="s">
        <v>71</v>
      </c>
      <c r="E74" s="39">
        <v>42</v>
      </c>
      <c r="F74" s="41">
        <f>21*E74</f>
        <v>882</v>
      </c>
      <c r="J74" s="6"/>
    </row>
    <row r="75" spans="1:10" ht="25.5">
      <c r="A75" s="38">
        <v>44757</v>
      </c>
      <c r="B75" s="38">
        <v>44760</v>
      </c>
      <c r="C75" s="39" t="s">
        <v>6</v>
      </c>
      <c r="D75" s="40" t="s">
        <v>92</v>
      </c>
      <c r="E75" s="48">
        <v>1</v>
      </c>
      <c r="F75" s="41">
        <f>797.5*E75</f>
        <v>797.5</v>
      </c>
      <c r="J75" s="6"/>
    </row>
    <row r="76" spans="1:10">
      <c r="A76" s="38">
        <v>44028</v>
      </c>
      <c r="B76" s="38">
        <v>44351</v>
      </c>
      <c r="C76" s="39" t="s">
        <v>6</v>
      </c>
      <c r="D76" s="40" t="s">
        <v>72</v>
      </c>
      <c r="E76" s="39">
        <v>6</v>
      </c>
      <c r="F76" s="41">
        <f>25*7</f>
        <v>175</v>
      </c>
      <c r="J76" s="6"/>
    </row>
    <row r="77" spans="1:10">
      <c r="A77" s="38">
        <v>44757</v>
      </c>
      <c r="B77" s="38">
        <v>44760</v>
      </c>
      <c r="C77" s="39" t="s">
        <v>6</v>
      </c>
      <c r="D77" s="40" t="s">
        <v>73</v>
      </c>
      <c r="E77" s="39">
        <v>4</v>
      </c>
      <c r="F77" s="41">
        <f>325*E77</f>
        <v>1300</v>
      </c>
      <c r="J77" s="6"/>
    </row>
    <row r="78" spans="1:10">
      <c r="A78" s="38">
        <v>44438</v>
      </c>
      <c r="B78" s="38">
        <v>44075</v>
      </c>
      <c r="C78" s="39" t="s">
        <v>6</v>
      </c>
      <c r="D78" s="40" t="s">
        <v>74</v>
      </c>
      <c r="E78" s="39">
        <v>1</v>
      </c>
      <c r="F78" s="41">
        <v>220</v>
      </c>
      <c r="J78" s="6"/>
    </row>
    <row r="79" spans="1:10" ht="25.5">
      <c r="A79" s="38">
        <v>44757</v>
      </c>
      <c r="B79" s="38">
        <v>44760</v>
      </c>
      <c r="C79" s="39" t="s">
        <v>6</v>
      </c>
      <c r="D79" s="40" t="s">
        <v>75</v>
      </c>
      <c r="E79" s="39">
        <v>1</v>
      </c>
      <c r="F79" s="41">
        <f>484*E79</f>
        <v>484</v>
      </c>
      <c r="J79" s="6"/>
    </row>
    <row r="80" spans="1:10" ht="33.75" customHeight="1">
      <c r="A80" s="38">
        <v>44757</v>
      </c>
      <c r="B80" s="38">
        <v>44760</v>
      </c>
      <c r="C80" s="39" t="s">
        <v>6</v>
      </c>
      <c r="D80" s="40" t="s">
        <v>76</v>
      </c>
      <c r="E80" s="39">
        <v>1</v>
      </c>
      <c r="F80" s="41">
        <f>685.9*E80</f>
        <v>685.9</v>
      </c>
      <c r="J80" s="6"/>
    </row>
    <row r="81" spans="1:10" ht="33.75" customHeight="1">
      <c r="A81" s="38">
        <v>44757</v>
      </c>
      <c r="B81" s="38">
        <v>44760</v>
      </c>
      <c r="C81" s="39" t="s">
        <v>6</v>
      </c>
      <c r="D81" s="40" t="s">
        <v>77</v>
      </c>
      <c r="E81" s="39">
        <v>2</v>
      </c>
      <c r="F81" s="41">
        <f>757.5*2</f>
        <v>1515</v>
      </c>
      <c r="J81" s="6"/>
    </row>
    <row r="82" spans="1:10" ht="34.5" customHeight="1">
      <c r="A82" s="38">
        <v>44257</v>
      </c>
      <c r="B82" s="38">
        <v>44284</v>
      </c>
      <c r="C82" s="39" t="s">
        <v>6</v>
      </c>
      <c r="D82" s="40" t="s">
        <v>78</v>
      </c>
      <c r="E82" s="39">
        <v>1</v>
      </c>
      <c r="F82" s="41">
        <f>E82*430</f>
        <v>430</v>
      </c>
      <c r="J82" s="6"/>
    </row>
    <row r="83" spans="1:10" ht="20.25" customHeight="1">
      <c r="A83" s="38">
        <v>44438</v>
      </c>
      <c r="B83" s="38">
        <v>44075</v>
      </c>
      <c r="C83" s="39" t="s">
        <v>6</v>
      </c>
      <c r="D83" s="40" t="s">
        <v>79</v>
      </c>
      <c r="E83" s="39">
        <v>1</v>
      </c>
      <c r="F83" s="41">
        <f>758.77*1</f>
        <v>758.77</v>
      </c>
      <c r="J83" s="6"/>
    </row>
    <row r="84" spans="1:10">
      <c r="A84" s="38">
        <v>44438</v>
      </c>
      <c r="B84" s="38">
        <v>44075</v>
      </c>
      <c r="C84" s="39" t="s">
        <v>6</v>
      </c>
      <c r="D84" s="40" t="s">
        <v>80</v>
      </c>
      <c r="E84" s="39">
        <v>4</v>
      </c>
      <c r="F84" s="41">
        <f>26.52*4</f>
        <v>106.08</v>
      </c>
      <c r="J84" s="6"/>
    </row>
    <row r="85" spans="1:10" ht="25.5">
      <c r="A85" s="38">
        <v>44438</v>
      </c>
      <c r="B85" s="38">
        <v>44075</v>
      </c>
      <c r="C85" s="39" t="s">
        <v>6</v>
      </c>
      <c r="D85" s="40" t="s">
        <v>81</v>
      </c>
      <c r="E85" s="39">
        <v>4</v>
      </c>
      <c r="F85" s="41">
        <f>250*E85</f>
        <v>1000</v>
      </c>
      <c r="J85" s="6"/>
    </row>
    <row r="86" spans="1:10">
      <c r="A86" s="38">
        <v>44438</v>
      </c>
      <c r="B86" s="38">
        <v>44075</v>
      </c>
      <c r="C86" s="39" t="s">
        <v>6</v>
      </c>
      <c r="D86" s="40" t="s">
        <v>82</v>
      </c>
      <c r="E86" s="39">
        <v>2</v>
      </c>
      <c r="F86" s="41">
        <f>60.64*2</f>
        <v>121.28</v>
      </c>
      <c r="J86" s="6"/>
    </row>
    <row r="87" spans="1:10">
      <c r="A87" s="38">
        <v>44438</v>
      </c>
      <c r="B87" s="38">
        <v>44075</v>
      </c>
      <c r="C87" s="39" t="s">
        <v>6</v>
      </c>
      <c r="D87" s="40" t="s">
        <v>83</v>
      </c>
      <c r="E87" s="39">
        <v>6</v>
      </c>
      <c r="F87" s="40">
        <f>39*6</f>
        <v>234</v>
      </c>
      <c r="J87" s="8"/>
    </row>
    <row r="88" spans="1:10">
      <c r="A88" s="38">
        <v>44438</v>
      </c>
      <c r="B88" s="38">
        <v>44075</v>
      </c>
      <c r="C88" s="39" t="s">
        <v>6</v>
      </c>
      <c r="D88" s="40" t="s">
        <v>84</v>
      </c>
      <c r="E88" s="39">
        <v>1</v>
      </c>
      <c r="F88" s="41">
        <f>66.14*E88</f>
        <v>66.14</v>
      </c>
      <c r="J88" s="6"/>
    </row>
    <row r="89" spans="1:10" ht="21" customHeight="1">
      <c r="A89" s="38">
        <v>44757</v>
      </c>
      <c r="B89" s="38">
        <v>44760</v>
      </c>
      <c r="C89" s="39" t="s">
        <v>6</v>
      </c>
      <c r="D89" s="40" t="s">
        <v>85</v>
      </c>
      <c r="E89" s="39">
        <v>0</v>
      </c>
      <c r="F89" s="41">
        <f>137.2*E89</f>
        <v>0</v>
      </c>
      <c r="J89" s="6"/>
    </row>
    <row r="90" spans="1:10">
      <c r="A90" s="38">
        <v>44757</v>
      </c>
      <c r="B90" s="38">
        <v>44760</v>
      </c>
      <c r="C90" s="39" t="s">
        <v>6</v>
      </c>
      <c r="D90" s="40" t="s">
        <v>86</v>
      </c>
      <c r="E90" s="39">
        <v>2</v>
      </c>
      <c r="F90" s="41">
        <f>86*E90</f>
        <v>172</v>
      </c>
      <c r="J90" s="6"/>
    </row>
    <row r="91" spans="1:10">
      <c r="A91" s="38">
        <v>44757</v>
      </c>
      <c r="B91" s="38">
        <v>44760</v>
      </c>
      <c r="C91" s="39" t="s">
        <v>6</v>
      </c>
      <c r="D91" s="40" t="s">
        <v>87</v>
      </c>
      <c r="E91" s="39">
        <v>1</v>
      </c>
      <c r="F91" s="41">
        <f>3360*E91</f>
        <v>3360</v>
      </c>
      <c r="J91" s="6"/>
    </row>
    <row r="92" spans="1:10" ht="38.25">
      <c r="A92" s="38" t="s">
        <v>88</v>
      </c>
      <c r="B92" s="38">
        <v>44603</v>
      </c>
      <c r="C92" s="39" t="s">
        <v>6</v>
      </c>
      <c r="D92" s="40" t="s">
        <v>89</v>
      </c>
      <c r="E92" s="39">
        <v>8</v>
      </c>
      <c r="F92" s="41">
        <f>150*E92</f>
        <v>1200</v>
      </c>
      <c r="J92" s="6"/>
    </row>
    <row r="93" spans="1:10" ht="51">
      <c r="A93" s="38" t="s">
        <v>88</v>
      </c>
      <c r="B93" s="38">
        <v>44603</v>
      </c>
      <c r="C93" s="39" t="s">
        <v>6</v>
      </c>
      <c r="D93" s="40" t="s">
        <v>90</v>
      </c>
      <c r="E93" s="39">
        <v>6</v>
      </c>
      <c r="F93" s="41">
        <f>150*E93</f>
        <v>900</v>
      </c>
      <c r="J93" s="6"/>
    </row>
    <row r="94" spans="1:10">
      <c r="A94" s="49"/>
      <c r="B94" s="49"/>
      <c r="C94" s="48"/>
      <c r="D94" s="50"/>
      <c r="E94" s="63" t="s">
        <v>91</v>
      </c>
      <c r="F94" s="62">
        <f>SUM(F8:F93)</f>
        <v>243521.72999999998</v>
      </c>
      <c r="J94" s="13"/>
    </row>
    <row r="95" spans="1:10">
      <c r="A95" s="49"/>
      <c r="B95" s="49"/>
      <c r="C95" s="48"/>
      <c r="D95" s="50"/>
      <c r="E95" s="48"/>
      <c r="F95" s="50"/>
    </row>
    <row r="96" spans="1:10">
      <c r="A96" s="49"/>
      <c r="B96" s="49"/>
      <c r="C96" s="48"/>
      <c r="D96" s="50"/>
      <c r="E96" s="48"/>
      <c r="F96" s="50"/>
    </row>
    <row r="97" spans="1:6">
      <c r="A97" s="49"/>
      <c r="B97" s="49"/>
      <c r="C97" s="48"/>
      <c r="D97" s="50"/>
      <c r="E97" s="48"/>
      <c r="F97" s="50"/>
    </row>
    <row r="98" spans="1:6">
      <c r="A98" s="49"/>
      <c r="B98" s="49"/>
      <c r="C98" s="51" t="s">
        <v>129</v>
      </c>
      <c r="D98" s="51"/>
      <c r="E98" s="50"/>
      <c r="F98" s="50"/>
    </row>
    <row r="99" spans="1:6">
      <c r="A99" s="49"/>
      <c r="B99" s="49"/>
      <c r="C99" s="52" t="s">
        <v>130</v>
      </c>
      <c r="D99" s="52"/>
      <c r="E99" s="50"/>
      <c r="F99" s="50"/>
    </row>
    <row r="100" spans="1:6">
      <c r="A100" s="49"/>
      <c r="B100" s="49"/>
      <c r="C100" s="50"/>
      <c r="D100" s="50"/>
      <c r="E100" s="50"/>
      <c r="F100" s="50"/>
    </row>
    <row r="101" spans="1:6">
      <c r="A101" s="49"/>
      <c r="B101" s="49"/>
      <c r="C101" s="50"/>
      <c r="D101" s="50"/>
      <c r="E101" s="50"/>
      <c r="F101" s="50"/>
    </row>
    <row r="102" spans="1:6">
      <c r="A102" s="49"/>
      <c r="B102" s="49"/>
      <c r="C102" s="50"/>
      <c r="D102" s="50"/>
      <c r="E102" s="50"/>
      <c r="F102" s="50"/>
    </row>
  </sheetData>
  <mergeCells count="4">
    <mergeCell ref="A5:F5"/>
    <mergeCell ref="A6:F6"/>
    <mergeCell ref="C98:D98"/>
    <mergeCell ref="C99:D99"/>
  </mergeCells>
  <pageMargins left="0.7" right="0.7" top="0.75" bottom="0.75" header="0.3" footer="0.3"/>
  <pageSetup paperSize="9" orientation="portrait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16"/>
  <sheetViews>
    <sheetView tabSelected="1" topLeftCell="A86" zoomScale="60" zoomScaleNormal="60" workbookViewId="0">
      <selection activeCell="A83" sqref="A83:F125"/>
    </sheetView>
  </sheetViews>
  <sheetFormatPr baseColWidth="10" defaultRowHeight="15"/>
  <cols>
    <col min="1" max="1" width="11.42578125" style="11"/>
    <col min="2" max="2" width="11" style="11" customWidth="1"/>
    <col min="3" max="3" width="11.42578125" style="12"/>
    <col min="4" max="4" width="20" customWidth="1"/>
    <col min="5" max="5" width="11.42578125" style="12"/>
    <col min="6" max="6" width="15.5703125" style="21" bestFit="1" customWidth="1"/>
    <col min="10" max="10" width="12" bestFit="1" customWidth="1"/>
  </cols>
  <sheetData>
    <row r="5" spans="1:10" ht="23.25">
      <c r="A5" s="29" t="s">
        <v>190</v>
      </c>
      <c r="B5" s="29"/>
      <c r="C5" s="29"/>
      <c r="D5" s="29"/>
      <c r="E5" s="29"/>
      <c r="F5" s="29"/>
    </row>
    <row r="6" spans="1:10" ht="23.25">
      <c r="A6" s="30" t="s">
        <v>93</v>
      </c>
      <c r="B6" s="30"/>
      <c r="C6" s="30"/>
      <c r="D6" s="30"/>
      <c r="E6" s="30"/>
      <c r="F6" s="30"/>
    </row>
    <row r="7" spans="1:10" ht="30">
      <c r="A7" s="22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</row>
    <row r="8" spans="1:10">
      <c r="A8" s="2">
        <v>44992</v>
      </c>
      <c r="B8" s="2">
        <v>45005</v>
      </c>
      <c r="C8" s="3" t="s">
        <v>6</v>
      </c>
      <c r="D8" s="4" t="s">
        <v>94</v>
      </c>
      <c r="E8" s="10">
        <v>2.5</v>
      </c>
      <c r="F8" s="5">
        <f>1118.64*E8</f>
        <v>2796.6000000000004</v>
      </c>
    </row>
    <row r="9" spans="1:10" ht="30">
      <c r="A9" s="2">
        <v>45005</v>
      </c>
      <c r="B9" s="2">
        <v>45005</v>
      </c>
      <c r="C9" s="3" t="s">
        <v>6</v>
      </c>
      <c r="D9" s="4" t="s">
        <v>95</v>
      </c>
      <c r="E9" s="10">
        <v>3</v>
      </c>
      <c r="F9" s="5">
        <f>1118.64*E9</f>
        <v>3355.92</v>
      </c>
    </row>
    <row r="10" spans="1:10" ht="30">
      <c r="A10" s="2">
        <v>45005</v>
      </c>
      <c r="B10" s="2">
        <v>45005</v>
      </c>
      <c r="C10" s="3" t="s">
        <v>6</v>
      </c>
      <c r="D10" s="4" t="s">
        <v>96</v>
      </c>
      <c r="E10" s="9" t="s">
        <v>183</v>
      </c>
      <c r="F10" s="5">
        <f>E10*1271.19</f>
        <v>1906.7850000000001</v>
      </c>
    </row>
    <row r="11" spans="1:10">
      <c r="A11" s="2">
        <v>45005</v>
      </c>
      <c r="B11" s="2">
        <v>45005</v>
      </c>
      <c r="C11" s="3" t="s">
        <v>6</v>
      </c>
      <c r="D11" s="4" t="s">
        <v>188</v>
      </c>
      <c r="E11" s="9" t="s">
        <v>182</v>
      </c>
      <c r="F11" s="5">
        <f>12*437.29</f>
        <v>5247.4800000000005</v>
      </c>
    </row>
    <row r="12" spans="1:10" ht="30">
      <c r="A12" s="2">
        <v>45005</v>
      </c>
      <c r="B12" s="2">
        <v>45005</v>
      </c>
      <c r="C12" s="3" t="s">
        <v>6</v>
      </c>
      <c r="D12" s="4" t="s">
        <v>97</v>
      </c>
      <c r="E12" s="10">
        <v>1</v>
      </c>
      <c r="F12" s="5">
        <f>E12*1006.78</f>
        <v>1006.78</v>
      </c>
    </row>
    <row r="13" spans="1:10" ht="30">
      <c r="A13" s="2">
        <v>45005</v>
      </c>
      <c r="B13" s="2">
        <v>45005</v>
      </c>
      <c r="C13" s="3" t="s">
        <v>6</v>
      </c>
      <c r="D13" s="4" t="s">
        <v>98</v>
      </c>
      <c r="E13" s="10">
        <v>2.5</v>
      </c>
      <c r="F13" s="5">
        <f>2400*E13</f>
        <v>6000</v>
      </c>
    </row>
    <row r="14" spans="1:10">
      <c r="A14" s="2">
        <v>45005</v>
      </c>
      <c r="B14" s="2">
        <v>45005</v>
      </c>
      <c r="C14" s="3" t="s">
        <v>6</v>
      </c>
      <c r="D14" s="4" t="s">
        <v>99</v>
      </c>
      <c r="E14" s="10">
        <v>1</v>
      </c>
      <c r="F14" s="5">
        <f>3100*E14</f>
        <v>3100</v>
      </c>
    </row>
    <row r="15" spans="1:10">
      <c r="A15" s="2">
        <v>45005</v>
      </c>
      <c r="B15" s="2">
        <v>45005</v>
      </c>
      <c r="C15" s="3" t="s">
        <v>6</v>
      </c>
      <c r="D15" s="4" t="s">
        <v>100</v>
      </c>
      <c r="E15" s="10">
        <v>1</v>
      </c>
      <c r="F15" s="5">
        <f>4100*E15</f>
        <v>4100</v>
      </c>
      <c r="J15" t="s">
        <v>101</v>
      </c>
    </row>
    <row r="16" spans="1:10" ht="30">
      <c r="A16" s="2">
        <v>45005</v>
      </c>
      <c r="B16" s="2">
        <v>45005</v>
      </c>
      <c r="C16" s="3" t="s">
        <v>6</v>
      </c>
      <c r="D16" s="4" t="s">
        <v>102</v>
      </c>
      <c r="E16" s="10">
        <v>51</v>
      </c>
      <c r="F16" s="5">
        <f>125*E16</f>
        <v>6375</v>
      </c>
    </row>
    <row r="17" spans="1:6">
      <c r="A17" s="2">
        <v>45005</v>
      </c>
      <c r="B17" s="2">
        <v>45005</v>
      </c>
      <c r="C17" s="3" t="s">
        <v>6</v>
      </c>
      <c r="D17" s="4" t="s">
        <v>103</v>
      </c>
      <c r="E17" s="3">
        <v>20</v>
      </c>
      <c r="F17" s="5">
        <f>254.24*E17</f>
        <v>5084.8</v>
      </c>
    </row>
    <row r="18" spans="1:6">
      <c r="A18" s="2">
        <v>45005</v>
      </c>
      <c r="B18" s="2">
        <v>45005</v>
      </c>
      <c r="C18" s="3" t="s">
        <v>6</v>
      </c>
      <c r="D18" s="4" t="s">
        <v>104</v>
      </c>
      <c r="E18" s="10">
        <v>10</v>
      </c>
      <c r="F18" s="5">
        <f>140*E18</f>
        <v>1400</v>
      </c>
    </row>
    <row r="19" spans="1:6">
      <c r="A19" s="2">
        <v>45005</v>
      </c>
      <c r="B19" s="2">
        <v>45005</v>
      </c>
      <c r="C19" s="3" t="s">
        <v>6</v>
      </c>
      <c r="D19" s="4" t="s">
        <v>105</v>
      </c>
      <c r="E19" s="3">
        <v>14</v>
      </c>
      <c r="F19" s="5">
        <f>14*245</f>
        <v>3430</v>
      </c>
    </row>
    <row r="20" spans="1:6" ht="30.75" customHeight="1">
      <c r="A20" s="2">
        <v>45005</v>
      </c>
      <c r="B20" s="2">
        <v>45005</v>
      </c>
      <c r="C20" s="3" t="s">
        <v>6</v>
      </c>
      <c r="D20" s="4" t="s">
        <v>106</v>
      </c>
      <c r="E20" s="3">
        <v>4</v>
      </c>
      <c r="F20" s="5">
        <f>238.33*4</f>
        <v>953.32</v>
      </c>
    </row>
    <row r="21" spans="1:6">
      <c r="A21" s="2">
        <v>45005</v>
      </c>
      <c r="B21" s="2">
        <v>45005</v>
      </c>
      <c r="C21" s="3" t="s">
        <v>6</v>
      </c>
      <c r="D21" s="4" t="s">
        <v>107</v>
      </c>
      <c r="E21" s="3">
        <v>12</v>
      </c>
      <c r="F21" s="5">
        <f>118.98*E21</f>
        <v>1427.76</v>
      </c>
    </row>
    <row r="22" spans="1:6">
      <c r="A22" s="2">
        <v>45005</v>
      </c>
      <c r="B22" s="2">
        <v>45005</v>
      </c>
      <c r="C22" s="3" t="s">
        <v>6</v>
      </c>
      <c r="D22" s="4" t="s">
        <v>108</v>
      </c>
      <c r="E22" s="10">
        <v>0.25</v>
      </c>
      <c r="F22" s="5">
        <f>1106.66*E22</f>
        <v>276.66500000000002</v>
      </c>
    </row>
    <row r="23" spans="1:6">
      <c r="A23" s="2">
        <v>45005</v>
      </c>
      <c r="B23" s="2">
        <v>45005</v>
      </c>
      <c r="C23" s="3" t="s">
        <v>6</v>
      </c>
      <c r="D23" s="4" t="s">
        <v>109</v>
      </c>
      <c r="E23" s="3">
        <v>9</v>
      </c>
      <c r="F23" s="5">
        <f>285*E23</f>
        <v>2565</v>
      </c>
    </row>
    <row r="24" spans="1:6" ht="28.5" customHeight="1">
      <c r="A24" s="2">
        <v>45005</v>
      </c>
      <c r="B24" s="2">
        <v>45005</v>
      </c>
      <c r="C24" s="3" t="s">
        <v>6</v>
      </c>
      <c r="D24" s="4" t="s">
        <v>110</v>
      </c>
      <c r="E24" s="3">
        <v>4</v>
      </c>
      <c r="F24" s="5">
        <f>289.83*E24</f>
        <v>1159.32</v>
      </c>
    </row>
    <row r="25" spans="1:6">
      <c r="A25" s="2">
        <v>45005</v>
      </c>
      <c r="B25" s="2">
        <v>45005</v>
      </c>
      <c r="C25" s="3" t="s">
        <v>6</v>
      </c>
      <c r="D25" s="4" t="s">
        <v>111</v>
      </c>
      <c r="E25" s="3">
        <v>2</v>
      </c>
      <c r="F25" s="5">
        <f>2*360</f>
        <v>720</v>
      </c>
    </row>
    <row r="26" spans="1:6" ht="30">
      <c r="A26" s="2">
        <v>45005</v>
      </c>
      <c r="B26" s="2">
        <v>45005</v>
      </c>
      <c r="C26" s="3" t="s">
        <v>6</v>
      </c>
      <c r="D26" s="4" t="s">
        <v>112</v>
      </c>
      <c r="E26" s="10">
        <v>3</v>
      </c>
      <c r="F26" s="5">
        <f>3*1271.19</f>
        <v>3813.57</v>
      </c>
    </row>
    <row r="27" spans="1:6">
      <c r="A27" s="2">
        <v>45005</v>
      </c>
      <c r="B27" s="2">
        <v>45005</v>
      </c>
      <c r="C27" s="3" t="s">
        <v>6</v>
      </c>
      <c r="D27" s="4" t="s">
        <v>113</v>
      </c>
      <c r="E27" s="3">
        <v>3</v>
      </c>
      <c r="F27" s="5">
        <f>206.66*E27</f>
        <v>619.98</v>
      </c>
    </row>
    <row r="28" spans="1:6" ht="30">
      <c r="A28" s="2">
        <v>45005</v>
      </c>
      <c r="B28" s="2">
        <v>45005</v>
      </c>
      <c r="C28" s="3" t="s">
        <v>6</v>
      </c>
      <c r="D28" s="4" t="s">
        <v>114</v>
      </c>
      <c r="E28" s="3">
        <v>6</v>
      </c>
      <c r="F28" s="5">
        <f>850*E28</f>
        <v>5100</v>
      </c>
    </row>
    <row r="29" spans="1:6">
      <c r="A29" s="2">
        <v>45005</v>
      </c>
      <c r="B29" s="2">
        <v>45005</v>
      </c>
      <c r="C29" s="3" t="s">
        <v>6</v>
      </c>
      <c r="D29" s="4" t="s">
        <v>115</v>
      </c>
      <c r="E29" s="10">
        <v>4</v>
      </c>
      <c r="F29" s="5">
        <f>950*E29</f>
        <v>3800</v>
      </c>
    </row>
    <row r="30" spans="1:6">
      <c r="A30" s="2">
        <v>45005</v>
      </c>
      <c r="B30" s="2">
        <v>45005</v>
      </c>
      <c r="C30" s="3" t="s">
        <v>138</v>
      </c>
      <c r="D30" s="4" t="s">
        <v>189</v>
      </c>
      <c r="E30" s="10">
        <v>3</v>
      </c>
      <c r="F30" s="5">
        <f>3*289.83</f>
        <v>869.49</v>
      </c>
    </row>
    <row r="31" spans="1:6">
      <c r="A31" s="2">
        <v>45005</v>
      </c>
      <c r="B31" s="2">
        <v>45005</v>
      </c>
      <c r="C31" s="3" t="s">
        <v>6</v>
      </c>
      <c r="D31" s="4" t="s">
        <v>116</v>
      </c>
      <c r="E31" s="3">
        <v>1</v>
      </c>
      <c r="F31" s="5">
        <f>250*E31</f>
        <v>250</v>
      </c>
    </row>
    <row r="32" spans="1:6">
      <c r="A32" s="2">
        <v>45005</v>
      </c>
      <c r="B32" s="2">
        <v>45005</v>
      </c>
      <c r="C32" s="3" t="s">
        <v>6</v>
      </c>
      <c r="D32" s="4" t="s">
        <v>117</v>
      </c>
      <c r="E32" s="3">
        <v>3</v>
      </c>
      <c r="F32" s="5">
        <f>3*188.14</f>
        <v>564.41999999999996</v>
      </c>
    </row>
    <row r="33" spans="1:6">
      <c r="A33" s="2">
        <v>44992</v>
      </c>
      <c r="B33" s="2">
        <v>45005</v>
      </c>
      <c r="C33" s="3" t="s">
        <v>6</v>
      </c>
      <c r="D33" s="4" t="s">
        <v>118</v>
      </c>
      <c r="E33" s="3">
        <v>8</v>
      </c>
      <c r="F33" s="5">
        <f>8*45.76</f>
        <v>366.08</v>
      </c>
    </row>
    <row r="34" spans="1:6">
      <c r="A34" s="2">
        <v>44992</v>
      </c>
      <c r="B34" s="2">
        <v>45005</v>
      </c>
      <c r="C34" s="3" t="s">
        <v>6</v>
      </c>
      <c r="D34" s="4" t="s">
        <v>119</v>
      </c>
      <c r="E34" s="3">
        <v>42</v>
      </c>
      <c r="F34" s="5">
        <f>45.76*42</f>
        <v>1921.9199999999998</v>
      </c>
    </row>
    <row r="35" spans="1:6" s="61" customFormat="1" ht="13.5" customHeight="1">
      <c r="A35" s="24"/>
      <c r="B35" s="24"/>
      <c r="C35" s="64"/>
      <c r="D35" s="65"/>
      <c r="E35" s="64"/>
      <c r="F35" s="6"/>
    </row>
    <row r="36" spans="1:6" s="61" customFormat="1">
      <c r="A36" s="24"/>
      <c r="B36" s="24"/>
      <c r="C36" s="64"/>
      <c r="D36" s="65"/>
      <c r="E36" s="64"/>
      <c r="F36" s="6"/>
    </row>
    <row r="37" spans="1:6" s="61" customFormat="1">
      <c r="A37" s="24"/>
      <c r="B37" s="24"/>
      <c r="C37" s="64"/>
      <c r="D37" s="65"/>
      <c r="E37" s="64"/>
      <c r="F37" s="6"/>
    </row>
    <row r="38" spans="1:6" s="61" customFormat="1">
      <c r="A38" s="24"/>
      <c r="B38" s="24"/>
      <c r="C38" s="64"/>
      <c r="D38" s="65"/>
      <c r="E38" s="64"/>
      <c r="F38" s="6"/>
    </row>
    <row r="39" spans="1:6" ht="30">
      <c r="A39" s="2">
        <v>45005</v>
      </c>
      <c r="B39" s="2">
        <v>45005</v>
      </c>
      <c r="C39" s="3" t="s">
        <v>6</v>
      </c>
      <c r="D39" s="4" t="s">
        <v>120</v>
      </c>
      <c r="E39" s="10">
        <v>4.5</v>
      </c>
      <c r="F39" s="5">
        <f>850*E39</f>
        <v>3825</v>
      </c>
    </row>
    <row r="40" spans="1:6" ht="30">
      <c r="A40" s="2">
        <v>45005</v>
      </c>
      <c r="B40" s="2">
        <v>45005</v>
      </c>
      <c r="C40" s="3" t="s">
        <v>6</v>
      </c>
      <c r="D40" s="4" t="s">
        <v>121</v>
      </c>
      <c r="E40" s="10">
        <v>5</v>
      </c>
      <c r="F40" s="5">
        <f>725*E40</f>
        <v>3625</v>
      </c>
    </row>
    <row r="41" spans="1:6" ht="30.75" customHeight="1">
      <c r="A41" s="14">
        <v>44992</v>
      </c>
      <c r="B41" s="15" t="s">
        <v>186</v>
      </c>
      <c r="C41" s="16" t="s">
        <v>6</v>
      </c>
      <c r="D41" s="17" t="s">
        <v>187</v>
      </c>
      <c r="E41" s="16">
        <v>1</v>
      </c>
      <c r="F41" s="18">
        <f>1*711.86</f>
        <v>711.86</v>
      </c>
    </row>
    <row r="42" spans="1:6">
      <c r="A42" s="2">
        <v>45005</v>
      </c>
      <c r="B42" s="2">
        <v>45005</v>
      </c>
      <c r="C42" s="3" t="s">
        <v>6</v>
      </c>
      <c r="D42" s="4" t="s">
        <v>122</v>
      </c>
      <c r="E42" s="3">
        <v>7</v>
      </c>
      <c r="F42" s="5">
        <f>96*E42</f>
        <v>672</v>
      </c>
    </row>
    <row r="43" spans="1:6">
      <c r="A43" s="2">
        <v>45005</v>
      </c>
      <c r="B43" s="2">
        <v>45005</v>
      </c>
      <c r="C43" s="3" t="s">
        <v>6</v>
      </c>
      <c r="D43" s="4" t="s">
        <v>123</v>
      </c>
      <c r="E43" s="3">
        <v>18</v>
      </c>
      <c r="F43" s="5">
        <f>100*E43</f>
        <v>1800</v>
      </c>
    </row>
    <row r="44" spans="1:6">
      <c r="A44" s="2">
        <v>45005</v>
      </c>
      <c r="B44" s="2">
        <v>45005</v>
      </c>
      <c r="C44" s="3" t="s">
        <v>6</v>
      </c>
      <c r="D44" s="4" t="s">
        <v>124</v>
      </c>
      <c r="E44" s="3">
        <v>0</v>
      </c>
      <c r="F44" s="5">
        <f>25*E44</f>
        <v>0</v>
      </c>
    </row>
    <row r="45" spans="1:6">
      <c r="A45" s="2">
        <v>45005</v>
      </c>
      <c r="B45" s="2">
        <v>45005</v>
      </c>
      <c r="C45" s="3" t="s">
        <v>6</v>
      </c>
      <c r="D45" s="4" t="s">
        <v>125</v>
      </c>
      <c r="E45" s="3">
        <v>3</v>
      </c>
      <c r="F45" s="5">
        <f>345.76*3</f>
        <v>1037.28</v>
      </c>
    </row>
    <row r="46" spans="1:6">
      <c r="A46" s="2">
        <v>45005</v>
      </c>
      <c r="B46" s="15" t="s">
        <v>191</v>
      </c>
      <c r="C46" s="16" t="s">
        <v>6</v>
      </c>
      <c r="D46" s="4" t="s">
        <v>126</v>
      </c>
      <c r="E46" s="3">
        <v>4</v>
      </c>
      <c r="F46" s="5">
        <f>265*E46</f>
        <v>1060</v>
      </c>
    </row>
    <row r="47" spans="1:6">
      <c r="A47" s="2">
        <v>45005</v>
      </c>
      <c r="B47" s="2">
        <v>44890</v>
      </c>
      <c r="C47" s="3" t="s">
        <v>6</v>
      </c>
      <c r="D47" s="4" t="s">
        <v>127</v>
      </c>
      <c r="E47" s="3">
        <v>19</v>
      </c>
      <c r="F47" s="5">
        <f>E47*70</f>
        <v>1330</v>
      </c>
    </row>
    <row r="48" spans="1:6" ht="30">
      <c r="A48" s="2">
        <v>44552</v>
      </c>
      <c r="B48" s="2">
        <v>44890</v>
      </c>
      <c r="C48" s="3" t="s">
        <v>6</v>
      </c>
      <c r="D48" s="4" t="s">
        <v>184</v>
      </c>
      <c r="E48" s="3">
        <v>2</v>
      </c>
      <c r="F48" s="5">
        <f>2650*2</f>
        <v>5300</v>
      </c>
    </row>
    <row r="49" spans="1:6" ht="30">
      <c r="A49" s="2">
        <v>44886</v>
      </c>
      <c r="B49" s="2">
        <v>44890</v>
      </c>
      <c r="C49" s="3" t="s">
        <v>6</v>
      </c>
      <c r="D49" s="4" t="s">
        <v>133</v>
      </c>
      <c r="E49" s="3">
        <v>2</v>
      </c>
      <c r="F49" s="5">
        <v>3200</v>
      </c>
    </row>
    <row r="50" spans="1:6">
      <c r="A50" s="2">
        <v>44886</v>
      </c>
      <c r="B50" s="2">
        <v>44890</v>
      </c>
      <c r="C50" s="3" t="s">
        <v>6</v>
      </c>
      <c r="D50" s="4" t="s">
        <v>134</v>
      </c>
      <c r="E50" s="3">
        <v>6</v>
      </c>
      <c r="F50" s="5">
        <v>3600</v>
      </c>
    </row>
    <row r="51" spans="1:6">
      <c r="A51" s="2">
        <v>44886</v>
      </c>
      <c r="B51" s="2">
        <v>44890</v>
      </c>
      <c r="C51" s="3" t="s">
        <v>6</v>
      </c>
      <c r="D51" s="4" t="s">
        <v>135</v>
      </c>
      <c r="E51" s="3">
        <v>7</v>
      </c>
      <c r="F51" s="5">
        <v>4500</v>
      </c>
    </row>
    <row r="52" spans="1:6">
      <c r="A52" s="2">
        <v>44886</v>
      </c>
      <c r="B52" s="2">
        <v>44890</v>
      </c>
      <c r="C52" s="3" t="s">
        <v>6</v>
      </c>
      <c r="D52" s="4" t="s">
        <v>136</v>
      </c>
      <c r="E52" s="3">
        <v>3</v>
      </c>
      <c r="F52" s="5">
        <v>900</v>
      </c>
    </row>
    <row r="53" spans="1:6">
      <c r="A53" s="2">
        <v>44958</v>
      </c>
      <c r="B53" s="2">
        <v>44964</v>
      </c>
      <c r="C53" s="3" t="s">
        <v>6</v>
      </c>
      <c r="D53" s="4" t="s">
        <v>137</v>
      </c>
      <c r="E53" s="3">
        <v>2</v>
      </c>
      <c r="F53" s="5">
        <f>2*153.87</f>
        <v>307.74</v>
      </c>
    </row>
    <row r="54" spans="1:6">
      <c r="A54" s="2">
        <v>44958</v>
      </c>
      <c r="B54" s="2">
        <v>44964</v>
      </c>
      <c r="C54" s="3" t="s">
        <v>138</v>
      </c>
      <c r="D54" s="4" t="s">
        <v>139</v>
      </c>
      <c r="E54" s="3">
        <v>1</v>
      </c>
      <c r="F54" s="5">
        <f>1*1032.5</f>
        <v>1032.5</v>
      </c>
    </row>
    <row r="55" spans="1:6">
      <c r="A55" s="2">
        <v>44958</v>
      </c>
      <c r="B55" s="2">
        <v>44964</v>
      </c>
      <c r="C55" s="3" t="s">
        <v>138</v>
      </c>
      <c r="D55" s="4" t="s">
        <v>140</v>
      </c>
      <c r="E55" s="3">
        <v>1</v>
      </c>
      <c r="F55" s="5">
        <f>1*283.2</f>
        <v>283.2</v>
      </c>
    </row>
    <row r="56" spans="1:6">
      <c r="A56" s="2">
        <v>44958</v>
      </c>
      <c r="B56" s="2">
        <v>44964</v>
      </c>
      <c r="C56" s="3" t="s">
        <v>138</v>
      </c>
      <c r="D56" s="4" t="s">
        <v>141</v>
      </c>
      <c r="E56" s="3">
        <v>1</v>
      </c>
      <c r="F56" s="5">
        <f>1*29.5</f>
        <v>29.5</v>
      </c>
    </row>
    <row r="57" spans="1:6">
      <c r="A57" s="2">
        <v>44958</v>
      </c>
      <c r="B57" s="2">
        <v>44964</v>
      </c>
      <c r="C57" s="3" t="s">
        <v>6</v>
      </c>
      <c r="D57" s="4" t="s">
        <v>174</v>
      </c>
      <c r="E57" s="3">
        <v>0</v>
      </c>
      <c r="F57" s="5">
        <v>0</v>
      </c>
    </row>
    <row r="58" spans="1:6">
      <c r="A58" s="2">
        <v>44958</v>
      </c>
      <c r="B58" s="2">
        <v>44964</v>
      </c>
      <c r="C58" s="3" t="s">
        <v>6</v>
      </c>
      <c r="D58" s="4" t="s">
        <v>142</v>
      </c>
      <c r="E58" s="3">
        <v>0</v>
      </c>
      <c r="F58" s="5">
        <v>0</v>
      </c>
    </row>
    <row r="59" spans="1:6">
      <c r="A59" s="2">
        <v>44958</v>
      </c>
      <c r="B59" s="2">
        <v>44964</v>
      </c>
      <c r="C59" s="3" t="s">
        <v>6</v>
      </c>
      <c r="D59" s="4" t="s">
        <v>143</v>
      </c>
      <c r="E59" s="3">
        <v>0</v>
      </c>
      <c r="F59" s="5">
        <v>0</v>
      </c>
    </row>
    <row r="60" spans="1:6">
      <c r="A60" s="2">
        <v>44958</v>
      </c>
      <c r="B60" s="2">
        <v>44964</v>
      </c>
      <c r="C60" s="3" t="s">
        <v>6</v>
      </c>
      <c r="D60" s="4" t="s">
        <v>144</v>
      </c>
      <c r="E60" s="3">
        <v>1</v>
      </c>
      <c r="F60" s="5">
        <f>1*1162.3</f>
        <v>1162.3</v>
      </c>
    </row>
    <row r="61" spans="1:6">
      <c r="A61" s="2">
        <v>44958</v>
      </c>
      <c r="B61" s="2">
        <v>44964</v>
      </c>
      <c r="C61" s="3" t="s">
        <v>6</v>
      </c>
      <c r="D61" s="4" t="s">
        <v>145</v>
      </c>
      <c r="E61" s="3">
        <v>1</v>
      </c>
      <c r="F61" s="5">
        <f>1*413</f>
        <v>413</v>
      </c>
    </row>
    <row r="62" spans="1:6">
      <c r="A62" s="2">
        <v>44958</v>
      </c>
      <c r="B62" s="2">
        <v>44964</v>
      </c>
      <c r="C62" s="3" t="s">
        <v>6</v>
      </c>
      <c r="D62" s="4" t="s">
        <v>146</v>
      </c>
      <c r="E62" s="3">
        <v>1</v>
      </c>
      <c r="F62" s="5">
        <f>1*433.4</f>
        <v>433.4</v>
      </c>
    </row>
    <row r="63" spans="1:6">
      <c r="A63" s="2">
        <v>44958</v>
      </c>
      <c r="B63" s="2">
        <v>44964</v>
      </c>
      <c r="C63" s="3" t="s">
        <v>6</v>
      </c>
      <c r="D63" s="4" t="s">
        <v>163</v>
      </c>
      <c r="E63" s="3">
        <v>1</v>
      </c>
      <c r="F63" s="5">
        <f>1*1032.5</f>
        <v>1032.5</v>
      </c>
    </row>
    <row r="64" spans="1:6">
      <c r="A64" s="2">
        <v>44958</v>
      </c>
      <c r="B64" s="2">
        <v>44964</v>
      </c>
      <c r="C64" s="3" t="s">
        <v>6</v>
      </c>
      <c r="D64" s="4" t="s">
        <v>147</v>
      </c>
      <c r="E64" s="3">
        <v>1</v>
      </c>
      <c r="F64" s="5">
        <f>1*4248</f>
        <v>4248</v>
      </c>
    </row>
    <row r="65" spans="1:6">
      <c r="A65" s="2">
        <v>44958</v>
      </c>
      <c r="B65" s="2">
        <v>44964</v>
      </c>
      <c r="C65" s="3" t="s">
        <v>6</v>
      </c>
      <c r="D65" s="4" t="s">
        <v>148</v>
      </c>
      <c r="E65" s="3">
        <v>2</v>
      </c>
      <c r="F65" s="5">
        <f>2*310</f>
        <v>620</v>
      </c>
    </row>
    <row r="66" spans="1:6">
      <c r="A66" s="2">
        <v>44958</v>
      </c>
      <c r="B66" s="2">
        <v>44964</v>
      </c>
      <c r="C66" s="3" t="s">
        <v>6</v>
      </c>
      <c r="D66" s="4" t="s">
        <v>149</v>
      </c>
      <c r="E66" s="3">
        <v>1</v>
      </c>
      <c r="F66" s="5">
        <f>1*1472.64</f>
        <v>1472.64</v>
      </c>
    </row>
    <row r="67" spans="1:6">
      <c r="A67" s="2">
        <v>44958</v>
      </c>
      <c r="B67" s="2">
        <v>44964</v>
      </c>
      <c r="C67" s="3" t="s">
        <v>6</v>
      </c>
      <c r="D67" s="4" t="s">
        <v>150</v>
      </c>
      <c r="E67" s="3">
        <v>500</v>
      </c>
      <c r="F67" s="5">
        <f>500*6.02</f>
        <v>3010</v>
      </c>
    </row>
    <row r="68" spans="1:6">
      <c r="A68" s="2">
        <v>44958</v>
      </c>
      <c r="B68" s="2">
        <v>44964</v>
      </c>
      <c r="C68" s="3" t="s">
        <v>6</v>
      </c>
      <c r="D68" s="4" t="s">
        <v>151</v>
      </c>
      <c r="E68" s="3">
        <v>200</v>
      </c>
      <c r="F68" s="5">
        <f>200*13</f>
        <v>2600</v>
      </c>
    </row>
    <row r="69" spans="1:6">
      <c r="A69" s="2">
        <v>44958</v>
      </c>
      <c r="B69" s="2">
        <v>44964</v>
      </c>
      <c r="C69" s="3" t="s">
        <v>6</v>
      </c>
      <c r="D69" s="4" t="s">
        <v>152</v>
      </c>
      <c r="E69" s="3">
        <v>100</v>
      </c>
      <c r="F69" s="5">
        <f>100*19</f>
        <v>1900</v>
      </c>
    </row>
    <row r="70" spans="1:6">
      <c r="A70" s="2">
        <v>44958</v>
      </c>
      <c r="B70" s="2">
        <v>44964</v>
      </c>
      <c r="C70" s="3" t="s">
        <v>6</v>
      </c>
      <c r="D70" s="4" t="s">
        <v>154</v>
      </c>
      <c r="E70" s="3">
        <v>0</v>
      </c>
      <c r="F70" s="5">
        <v>0</v>
      </c>
    </row>
    <row r="71" spans="1:6">
      <c r="A71" s="2">
        <v>44958</v>
      </c>
      <c r="B71" s="2">
        <v>44964</v>
      </c>
      <c r="C71" s="3" t="s">
        <v>6</v>
      </c>
      <c r="D71" s="4" t="s">
        <v>153</v>
      </c>
      <c r="E71" s="3">
        <v>1</v>
      </c>
      <c r="F71" s="5">
        <f>1*389.4</f>
        <v>389.4</v>
      </c>
    </row>
    <row r="72" spans="1:6">
      <c r="A72" s="2">
        <v>44958</v>
      </c>
      <c r="B72" s="2">
        <v>44964</v>
      </c>
      <c r="C72" s="3" t="s">
        <v>6</v>
      </c>
      <c r="D72" s="4" t="s">
        <v>155</v>
      </c>
      <c r="E72" s="3">
        <v>1</v>
      </c>
      <c r="F72" s="5">
        <f>1*2360</f>
        <v>2360</v>
      </c>
    </row>
    <row r="73" spans="1:6">
      <c r="A73" s="2">
        <v>44958</v>
      </c>
      <c r="B73" s="2">
        <v>45108</v>
      </c>
      <c r="C73" s="3" t="s">
        <v>6</v>
      </c>
      <c r="D73" s="4" t="s">
        <v>156</v>
      </c>
      <c r="E73" s="3">
        <v>1</v>
      </c>
      <c r="F73" s="5">
        <f>1*826</f>
        <v>826</v>
      </c>
    </row>
    <row r="74" spans="1:6">
      <c r="A74" s="2">
        <v>44958</v>
      </c>
      <c r="B74" s="2">
        <v>45108</v>
      </c>
      <c r="C74" s="3" t="s">
        <v>6</v>
      </c>
      <c r="D74" s="4" t="s">
        <v>157</v>
      </c>
      <c r="E74" s="3">
        <v>1</v>
      </c>
      <c r="F74" s="5">
        <f>1*1357</f>
        <v>1357</v>
      </c>
    </row>
    <row r="75" spans="1:6">
      <c r="A75" s="2">
        <v>44958</v>
      </c>
      <c r="B75" s="2">
        <v>44964</v>
      </c>
      <c r="C75" s="3" t="s">
        <v>6</v>
      </c>
      <c r="D75" s="4" t="s">
        <v>158</v>
      </c>
      <c r="E75" s="3">
        <v>2</v>
      </c>
      <c r="F75" s="5">
        <f>2*4484</f>
        <v>8968</v>
      </c>
    </row>
    <row r="76" spans="1:6">
      <c r="A76" s="2">
        <v>44958</v>
      </c>
      <c r="B76" s="2">
        <v>44964</v>
      </c>
      <c r="C76" s="3" t="s">
        <v>6</v>
      </c>
      <c r="D76" s="4" t="s">
        <v>159</v>
      </c>
      <c r="E76" s="3">
        <v>4</v>
      </c>
      <c r="F76" s="5">
        <f>4*342.2</f>
        <v>1368.8</v>
      </c>
    </row>
    <row r="77" spans="1:6">
      <c r="A77" s="2">
        <v>44958</v>
      </c>
      <c r="B77" s="2">
        <v>44964</v>
      </c>
      <c r="C77" s="3" t="s">
        <v>6</v>
      </c>
      <c r="D77" s="4" t="s">
        <v>168</v>
      </c>
      <c r="E77" s="3">
        <v>2</v>
      </c>
      <c r="F77" s="5">
        <f>2*1380.6</f>
        <v>2761.2</v>
      </c>
    </row>
    <row r="78" spans="1:6">
      <c r="A78" s="2">
        <v>44958</v>
      </c>
      <c r="B78" s="2">
        <v>44964</v>
      </c>
      <c r="C78" s="3" t="s">
        <v>6</v>
      </c>
      <c r="D78" s="4" t="s">
        <v>167</v>
      </c>
      <c r="E78" s="3">
        <v>3</v>
      </c>
      <c r="F78" s="5">
        <f>3*651.36</f>
        <v>1954.08</v>
      </c>
    </row>
    <row r="79" spans="1:6">
      <c r="A79" s="2">
        <v>44958</v>
      </c>
      <c r="B79" s="2">
        <v>44964</v>
      </c>
      <c r="C79" s="3" t="s">
        <v>6</v>
      </c>
      <c r="D79" s="4" t="s">
        <v>160</v>
      </c>
      <c r="E79" s="3">
        <v>10</v>
      </c>
      <c r="F79" s="5">
        <f>10*177</f>
        <v>1770</v>
      </c>
    </row>
    <row r="80" spans="1:6">
      <c r="A80" s="2">
        <v>44958</v>
      </c>
      <c r="B80" s="2">
        <v>44964</v>
      </c>
      <c r="C80" s="3" t="s">
        <v>6</v>
      </c>
      <c r="D80" s="4" t="s">
        <v>161</v>
      </c>
      <c r="E80" s="3">
        <v>10</v>
      </c>
      <c r="F80" s="5">
        <f>10*9.4</f>
        <v>94</v>
      </c>
    </row>
    <row r="81" spans="1:6">
      <c r="A81" s="2">
        <v>44958</v>
      </c>
      <c r="B81" s="2">
        <v>44964</v>
      </c>
      <c r="C81" s="3" t="s">
        <v>6</v>
      </c>
      <c r="D81" s="4" t="s">
        <v>173</v>
      </c>
      <c r="E81" s="3">
        <v>0</v>
      </c>
      <c r="F81" s="5">
        <v>0</v>
      </c>
    </row>
    <row r="82" spans="1:6" ht="30">
      <c r="A82" s="2">
        <v>44958</v>
      </c>
      <c r="B82" s="2">
        <v>44964</v>
      </c>
      <c r="C82" s="3" t="s">
        <v>6</v>
      </c>
      <c r="D82" s="4" t="s">
        <v>166</v>
      </c>
      <c r="E82" s="3">
        <v>0</v>
      </c>
      <c r="F82" s="5">
        <v>0</v>
      </c>
    </row>
    <row r="83" spans="1:6" ht="30">
      <c r="A83" s="2">
        <v>44958</v>
      </c>
      <c r="B83" s="2">
        <v>44964</v>
      </c>
      <c r="C83" s="3" t="s">
        <v>6</v>
      </c>
      <c r="D83" s="4" t="s">
        <v>162</v>
      </c>
      <c r="E83" s="3">
        <v>0</v>
      </c>
      <c r="F83" s="5">
        <v>0</v>
      </c>
    </row>
    <row r="84" spans="1:6">
      <c r="A84" s="2">
        <v>44958</v>
      </c>
      <c r="B84" s="2">
        <v>44964</v>
      </c>
      <c r="C84" s="3" t="s">
        <v>6</v>
      </c>
      <c r="D84" s="4" t="s">
        <v>164</v>
      </c>
      <c r="E84" s="3">
        <v>6</v>
      </c>
      <c r="F84" s="5">
        <f>6*1177.64</f>
        <v>7065.84</v>
      </c>
    </row>
    <row r="85" spans="1:6">
      <c r="A85" s="2">
        <v>44958</v>
      </c>
      <c r="B85" s="2">
        <v>44964</v>
      </c>
      <c r="C85" s="3" t="s">
        <v>6</v>
      </c>
      <c r="D85" s="4" t="s">
        <v>165</v>
      </c>
      <c r="E85" s="3">
        <v>4</v>
      </c>
      <c r="F85" s="5">
        <f>4*684.4</f>
        <v>2737.6</v>
      </c>
    </row>
    <row r="86" spans="1:6">
      <c r="A86" s="2">
        <v>44958</v>
      </c>
      <c r="B86" s="2">
        <v>44964</v>
      </c>
      <c r="C86" s="3" t="s">
        <v>6</v>
      </c>
      <c r="D86" s="4" t="s">
        <v>169</v>
      </c>
      <c r="E86" s="3">
        <v>50</v>
      </c>
      <c r="F86" s="5">
        <f>50*2.12</f>
        <v>106</v>
      </c>
    </row>
    <row r="87" spans="1:6">
      <c r="A87" s="2">
        <v>44958</v>
      </c>
      <c r="B87" s="2">
        <v>44964</v>
      </c>
      <c r="C87" s="3" t="s">
        <v>6</v>
      </c>
      <c r="D87" s="4" t="s">
        <v>170</v>
      </c>
      <c r="E87" s="3">
        <v>50</v>
      </c>
      <c r="F87" s="5">
        <f>50*1.9</f>
        <v>95</v>
      </c>
    </row>
    <row r="88" spans="1:6">
      <c r="A88" s="2">
        <v>44958</v>
      </c>
      <c r="B88" s="2">
        <v>44964</v>
      </c>
      <c r="C88" s="3" t="s">
        <v>6</v>
      </c>
      <c r="D88" s="4" t="s">
        <v>171</v>
      </c>
      <c r="E88" s="3">
        <v>50</v>
      </c>
      <c r="F88" s="5">
        <f>50*2.95</f>
        <v>147.5</v>
      </c>
    </row>
    <row r="89" spans="1:6">
      <c r="A89" s="2">
        <v>44958</v>
      </c>
      <c r="B89" s="2">
        <v>44964</v>
      </c>
      <c r="C89" s="3" t="s">
        <v>6</v>
      </c>
      <c r="D89" s="4" t="s">
        <v>172</v>
      </c>
      <c r="E89" s="3">
        <v>6</v>
      </c>
      <c r="F89" s="5">
        <f>6*230.1</f>
        <v>1380.6</v>
      </c>
    </row>
    <row r="90" spans="1:6">
      <c r="A90" s="2">
        <v>44958</v>
      </c>
      <c r="B90" s="2">
        <v>44964</v>
      </c>
      <c r="C90" s="3" t="s">
        <v>6</v>
      </c>
      <c r="D90" s="4" t="s">
        <v>175</v>
      </c>
      <c r="E90" s="3">
        <v>0</v>
      </c>
      <c r="F90" s="5">
        <v>0</v>
      </c>
    </row>
    <row r="91" spans="1:6">
      <c r="A91" s="2">
        <v>44958</v>
      </c>
      <c r="B91" s="2">
        <v>44964</v>
      </c>
      <c r="C91" s="3" t="s">
        <v>6</v>
      </c>
      <c r="D91" s="4" t="s">
        <v>176</v>
      </c>
      <c r="E91" s="3">
        <v>0</v>
      </c>
      <c r="F91" s="5">
        <v>0</v>
      </c>
    </row>
    <row r="92" spans="1:6">
      <c r="A92" s="2">
        <v>44958</v>
      </c>
      <c r="B92" s="2">
        <v>44964</v>
      </c>
      <c r="C92" s="3" t="s">
        <v>6</v>
      </c>
      <c r="D92" s="4" t="s">
        <v>177</v>
      </c>
      <c r="E92" s="3">
        <v>0</v>
      </c>
      <c r="F92" s="5">
        <v>0</v>
      </c>
    </row>
    <row r="93" spans="1:6">
      <c r="A93" s="2">
        <v>44958</v>
      </c>
      <c r="B93" s="2">
        <v>44964</v>
      </c>
      <c r="C93" s="3" t="s">
        <v>6</v>
      </c>
      <c r="D93" s="4" t="s">
        <v>178</v>
      </c>
      <c r="E93" s="3">
        <v>1</v>
      </c>
      <c r="F93" s="5">
        <v>0</v>
      </c>
    </row>
    <row r="94" spans="1:6">
      <c r="A94" s="2">
        <v>44958</v>
      </c>
      <c r="B94" s="2">
        <v>44964</v>
      </c>
      <c r="C94" s="3" t="s">
        <v>6</v>
      </c>
      <c r="D94" s="4" t="s">
        <v>179</v>
      </c>
      <c r="E94" s="3">
        <v>0</v>
      </c>
      <c r="F94" s="5">
        <v>0</v>
      </c>
    </row>
    <row r="95" spans="1:6">
      <c r="A95" s="2">
        <v>44958</v>
      </c>
      <c r="B95" s="2">
        <v>44964</v>
      </c>
      <c r="C95" s="3" t="s">
        <v>6</v>
      </c>
      <c r="D95" s="4" t="s">
        <v>180</v>
      </c>
      <c r="E95" s="3">
        <v>0</v>
      </c>
      <c r="F95" s="5">
        <v>0</v>
      </c>
    </row>
    <row r="96" spans="1:6">
      <c r="A96" s="2">
        <v>44958</v>
      </c>
      <c r="B96" s="2">
        <v>44964</v>
      </c>
      <c r="C96" s="3" t="s">
        <v>6</v>
      </c>
      <c r="D96" s="4" t="s">
        <v>179</v>
      </c>
      <c r="E96" s="3">
        <v>0</v>
      </c>
      <c r="F96" s="5">
        <v>0</v>
      </c>
    </row>
    <row r="97" spans="1:6">
      <c r="A97" s="2">
        <v>44958</v>
      </c>
      <c r="B97" s="2">
        <v>44964</v>
      </c>
      <c r="C97" s="3" t="s">
        <v>6</v>
      </c>
      <c r="D97" s="4" t="s">
        <v>180</v>
      </c>
      <c r="E97" s="3">
        <v>0</v>
      </c>
      <c r="F97" s="5">
        <v>0</v>
      </c>
    </row>
    <row r="98" spans="1:6">
      <c r="A98" s="2">
        <v>44958</v>
      </c>
      <c r="B98" s="2">
        <v>44964</v>
      </c>
      <c r="C98" s="3" t="s">
        <v>6</v>
      </c>
      <c r="D98" s="4" t="s">
        <v>181</v>
      </c>
      <c r="E98" s="3">
        <v>0</v>
      </c>
      <c r="F98" s="5">
        <v>0</v>
      </c>
    </row>
    <row r="99" spans="1:6" ht="30">
      <c r="A99" s="2">
        <v>44958</v>
      </c>
      <c r="B99" s="2">
        <v>44568</v>
      </c>
      <c r="C99" s="3" t="s">
        <v>6</v>
      </c>
      <c r="D99" s="4" t="s">
        <v>128</v>
      </c>
      <c r="E99" s="3">
        <v>1</v>
      </c>
      <c r="F99" s="5">
        <f>975*1</f>
        <v>975</v>
      </c>
    </row>
    <row r="100" spans="1:6">
      <c r="A100" s="24"/>
      <c r="E100" s="19" t="s">
        <v>91</v>
      </c>
      <c r="F100" s="20">
        <f>SUM(F8:F99)</f>
        <v>152672.83000000002</v>
      </c>
    </row>
    <row r="101" spans="1:6">
      <c r="E101"/>
      <c r="F101"/>
    </row>
    <row r="102" spans="1:6">
      <c r="E102"/>
      <c r="F102"/>
    </row>
    <row r="103" spans="1:6">
      <c r="E103"/>
      <c r="F103"/>
    </row>
    <row r="104" spans="1:6">
      <c r="E104"/>
      <c r="F104"/>
    </row>
    <row r="105" spans="1:6">
      <c r="C105" s="27" t="s">
        <v>129</v>
      </c>
      <c r="D105" s="27"/>
      <c r="E105"/>
      <c r="F105"/>
    </row>
    <row r="106" spans="1:6">
      <c r="C106" s="28" t="s">
        <v>130</v>
      </c>
      <c r="D106" s="28"/>
      <c r="E106"/>
      <c r="F106"/>
    </row>
    <row r="107" spans="1:6">
      <c r="E107"/>
      <c r="F107"/>
    </row>
    <row r="108" spans="1:6">
      <c r="C108"/>
      <c r="E108"/>
      <c r="F108"/>
    </row>
    <row r="109" spans="1:6">
      <c r="C109"/>
      <c r="E109"/>
      <c r="F109"/>
    </row>
    <row r="110" spans="1:6">
      <c r="C110"/>
      <c r="E110"/>
      <c r="F110"/>
    </row>
    <row r="111" spans="1:6">
      <c r="C111"/>
      <c r="E111"/>
      <c r="F111"/>
    </row>
    <row r="112" spans="1:6">
      <c r="C112"/>
      <c r="E112"/>
      <c r="F112"/>
    </row>
    <row r="113" spans="3:6">
      <c r="C113"/>
      <c r="E113"/>
      <c r="F113"/>
    </row>
    <row r="114" spans="3:6">
      <c r="C114"/>
      <c r="E114"/>
      <c r="F114"/>
    </row>
    <row r="115" spans="3:6">
      <c r="C115"/>
      <c r="E115"/>
      <c r="F115"/>
    </row>
    <row r="116" spans="3:6">
      <c r="C116"/>
      <c r="E116"/>
      <c r="F116"/>
    </row>
  </sheetData>
  <mergeCells count="4">
    <mergeCell ref="A5:F5"/>
    <mergeCell ref="A6:F6"/>
    <mergeCell ref="C105:D105"/>
    <mergeCell ref="C106:D106"/>
  </mergeCells>
  <pageMargins left="0.7" right="0.7" top="0.75" bottom="0.75" header="0.3" footer="0.3"/>
  <pageSetup paperSize="9" orientation="portrait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 de oficina</vt:lpstr>
      <vt:lpstr>Materiales de limpieza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Genrales</dc:creator>
  <cp:lastModifiedBy>Usuario de Windows</cp:lastModifiedBy>
  <cp:lastPrinted>2023-04-11T17:45:47Z</cp:lastPrinted>
  <dcterms:created xsi:type="dcterms:W3CDTF">2022-11-08T18:27:14Z</dcterms:created>
  <dcterms:modified xsi:type="dcterms:W3CDTF">2023-04-11T17:46:16Z</dcterms:modified>
</cp:coreProperties>
</file>